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never" codeName="ThisWorkbook" defaultThemeVersion="124226"/>
  <mc:AlternateContent xmlns:mc="http://schemas.openxmlformats.org/markup-compatibility/2006">
    <mc:Choice Requires="x15">
      <x15ac:absPath xmlns:x15ac="http://schemas.microsoft.com/office/spreadsheetml/2010/11/ac" url="https://gets-my.sharepoint.com/personal/jing_wang_dnr_ga_gov/Documents/Jing WorkFolder/DERA/2025/"/>
    </mc:Choice>
  </mc:AlternateContent>
  <xr:revisionPtr revIDLastSave="0" documentId="8_{1815E2E1-976D-473F-94B5-B1F862FC3DBD}" xr6:coauthVersionLast="47" xr6:coauthVersionMax="47" xr10:uidLastSave="{00000000-0000-0000-0000-000000000000}"/>
  <bookViews>
    <workbookView xWindow="-108" yWindow="-108" windowWidth="23256" windowHeight="12456" tabRatio="832" xr2:uid="{00000000-000D-0000-FFFF-FFFF00000000}"/>
  </bookViews>
  <sheets>
    <sheet name="Application" sheetId="2" r:id="rId1"/>
    <sheet name="Bus Fleet" sheetId="12" r:id="rId2"/>
    <sheet name="ForEPA" sheetId="3" state="hidden" r:id="rId3"/>
    <sheet name="DropDown" sheetId="6" state="hidden" r:id="rId4"/>
    <sheet name="EF" sheetId="8" state="hidden" r:id="rId5"/>
    <sheet name="DEQ" sheetId="9" state="hidden" r:id="rId6"/>
    <sheet name="LPG" sheetId="13" state="hidden" r:id="rId7"/>
    <sheet name="CNG" sheetId="14" state="hidden" r:id="rId8"/>
  </sheets>
  <definedNames>
    <definedName name="_xlnm._FilterDatabase" localSheetId="5" hidden="1">DEQ!$A$4:$J$95</definedName>
    <definedName name="_xlnm._FilterDatabase" localSheetId="3" hidden="1">DropDown!$G$1:$I$160</definedName>
    <definedName name="_xlnm._FilterDatabase" localSheetId="4" hidden="1">EF!#REF!</definedName>
    <definedName name="_xlnm._FilterDatabase" localSheetId="2" hidden="1">ForEPA!$A$2:$AY$2</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2" l="1"/>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Z4" i="12"/>
  <c r="Z5" i="12"/>
  <c r="Z6" i="12"/>
  <c r="Z7" i="12"/>
  <c r="Z8" i="12"/>
  <c r="Z9" i="12"/>
  <c r="Z10" i="12"/>
  <c r="Z11" i="12"/>
  <c r="Z12" i="12"/>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Z112" i="12"/>
  <c r="Z113" i="12"/>
  <c r="Z114" i="12"/>
  <c r="Z115" i="12"/>
  <c r="Z116" i="12"/>
  <c r="Z117" i="12"/>
  <c r="Z118" i="12"/>
  <c r="Z119" i="12"/>
  <c r="Z120" i="12"/>
  <c r="Z121" i="12"/>
  <c r="Z122" i="12"/>
  <c r="Z123" i="12"/>
  <c r="Z124" i="12"/>
  <c r="Z125" i="12"/>
  <c r="Z126" i="12"/>
  <c r="Z127" i="12"/>
  <c r="Z128" i="12"/>
  <c r="Z129" i="12"/>
  <c r="Z130" i="12"/>
  <c r="Z131" i="12"/>
  <c r="Z132" i="12"/>
  <c r="Z133" i="12"/>
  <c r="Z134" i="12"/>
  <c r="Z135" i="12"/>
  <c r="Z136" i="12"/>
  <c r="Z137" i="12"/>
  <c r="Z138" i="12"/>
  <c r="Z139" i="12"/>
  <c r="Z140" i="12"/>
  <c r="Z141" i="12"/>
  <c r="Z142" i="12"/>
  <c r="Z143" i="12"/>
  <c r="Z144" i="12"/>
  <c r="Z145" i="12"/>
  <c r="Z146" i="12"/>
  <c r="Z147" i="12"/>
  <c r="Z148" i="12"/>
  <c r="Z149" i="12"/>
  <c r="Z150" i="12"/>
  <c r="Z151" i="12"/>
  <c r="Z152" i="12"/>
  <c r="Z153" i="12"/>
  <c r="Z154" i="12"/>
  <c r="Z155" i="12"/>
  <c r="Z156" i="12"/>
  <c r="Z157" i="12"/>
  <c r="Z158" i="12"/>
  <c r="Z159" i="12"/>
  <c r="Z160" i="12"/>
  <c r="Z161" i="12"/>
  <c r="Z162" i="12"/>
  <c r="Z163" i="12"/>
  <c r="Z164" i="12"/>
  <c r="Z165" i="12"/>
  <c r="Z166" i="12"/>
  <c r="Z167" i="12"/>
  <c r="Z168" i="12"/>
  <c r="Z169" i="12"/>
  <c r="Z170" i="12"/>
  <c r="Z171" i="12"/>
  <c r="Z172" i="12"/>
  <c r="Z173" i="12"/>
  <c r="Z174" i="12"/>
  <c r="Z175" i="12"/>
  <c r="Z176" i="12"/>
  <c r="Z177" i="12"/>
  <c r="Z178" i="12"/>
  <c r="Z179" i="12"/>
  <c r="Z180" i="12"/>
  <c r="Z181" i="12"/>
  <c r="Z182" i="12"/>
  <c r="Z183" i="12"/>
  <c r="Z184" i="12"/>
  <c r="Z185" i="12"/>
  <c r="Z186" i="12"/>
  <c r="Z187" i="12"/>
  <c r="Z188" i="12"/>
  <c r="Z189" i="12"/>
  <c r="Z190" i="12"/>
  <c r="Z191" i="12"/>
  <c r="Z192" i="12"/>
  <c r="Z193" i="12"/>
  <c r="Z194" i="12"/>
  <c r="Z195" i="12"/>
  <c r="Z196" i="12"/>
  <c r="Z197" i="12"/>
  <c r="Z198" i="12"/>
  <c r="Z199" i="12"/>
  <c r="Z200" i="12"/>
  <c r="Z201" i="12"/>
  <c r="Z202" i="12"/>
  <c r="Z203" i="12"/>
  <c r="Z204" i="12"/>
  <c r="Z205" i="12"/>
  <c r="Z206" i="12"/>
  <c r="Z207" i="12"/>
  <c r="Z208" i="12"/>
  <c r="Z209" i="12"/>
  <c r="Z210" i="12"/>
  <c r="Z211" i="12"/>
  <c r="Z212" i="12"/>
  <c r="Z213" i="12"/>
  <c r="Z214" i="12"/>
  <c r="Z215" i="12"/>
  <c r="Z216" i="12"/>
  <c r="Z217" i="12"/>
  <c r="Z218" i="12"/>
  <c r="Z219" i="12"/>
  <c r="Z220" i="12"/>
  <c r="Z221" i="12"/>
  <c r="Z222" i="12"/>
  <c r="Z223" i="12"/>
  <c r="Z224" i="12"/>
  <c r="Z225" i="12"/>
  <c r="Z226" i="12"/>
  <c r="Z227" i="12"/>
  <c r="AH228" i="3" l="1"/>
  <c r="AW3" i="3" l="1"/>
  <c r="G32" i="8"/>
  <c r="F32" i="8"/>
  <c r="E32" i="8"/>
  <c r="D32" i="8"/>
  <c r="C32" i="8"/>
  <c r="Z3" i="12"/>
  <c r="N37" i="2" l="1"/>
  <c r="K96" i="9" l="1"/>
  <c r="D33" i="2" l="1"/>
  <c r="C26" i="2" l="1"/>
  <c r="F33" i="2" l="1"/>
  <c r="J33" i="2"/>
  <c r="H33" i="2"/>
  <c r="E33" i="2"/>
  <c r="I33" i="2"/>
  <c r="B6" i="14" l="1"/>
  <c r="G6" i="14"/>
  <c r="F6" i="14"/>
  <c r="E6" i="14"/>
  <c r="D6" i="14"/>
  <c r="C6" i="14"/>
  <c r="F28" i="8" l="1"/>
  <c r="E28" i="8"/>
  <c r="D28" i="8"/>
  <c r="C28" i="8"/>
  <c r="AK3" i="3"/>
  <c r="Q3" i="12" s="1"/>
  <c r="G2" i="8"/>
  <c r="G13" i="8" s="1"/>
  <c r="G29" i="8"/>
  <c r="G28" i="8" l="1"/>
  <c r="G3" i="8"/>
  <c r="K89" i="9" l="1"/>
  <c r="K86" i="9"/>
  <c r="E6" i="13"/>
  <c r="G6" i="13"/>
  <c r="F6" i="13"/>
  <c r="D6" i="13"/>
  <c r="C6" i="13"/>
  <c r="B6" i="13"/>
  <c r="AV3" i="3" l="1"/>
  <c r="AU3" i="3"/>
  <c r="AT3" i="3"/>
  <c r="AR3" i="3"/>
  <c r="AP3" i="3"/>
  <c r="AN3" i="3"/>
  <c r="AF3" i="3"/>
  <c r="AE3" i="3"/>
  <c r="AA3" i="3"/>
  <c r="Z3" i="3"/>
  <c r="Y3" i="3"/>
  <c r="X3" i="3"/>
  <c r="V3" i="3"/>
  <c r="U3" i="3"/>
  <c r="T3" i="3"/>
  <c r="S3" i="3"/>
  <c r="R3" i="3"/>
  <c r="Q3" i="3"/>
  <c r="P3" i="3"/>
  <c r="O3" i="3"/>
  <c r="D3" i="3"/>
  <c r="AY3" i="3"/>
  <c r="AX3" i="3"/>
  <c r="AS3" i="3"/>
  <c r="BA3" i="3" l="1"/>
  <c r="BN3" i="3"/>
  <c r="BT3" i="3"/>
  <c r="BH3" i="3"/>
  <c r="BB3" i="3"/>
  <c r="AM3" i="3"/>
  <c r="AB3" i="3"/>
  <c r="K26" i="2" l="1"/>
  <c r="AC3" i="3" l="1"/>
  <c r="B3" i="3"/>
  <c r="CE3" i="3" l="1"/>
  <c r="CF3" i="3" l="1"/>
  <c r="AD3" i="3"/>
  <c r="K3" i="3" l="1"/>
  <c r="J3" i="3"/>
  <c r="H3" i="3"/>
  <c r="AQ3" i="3"/>
  <c r="AO3" i="3"/>
  <c r="AL3" i="3"/>
  <c r="AG3" i="3"/>
  <c r="AH3" i="3"/>
  <c r="W3" i="3"/>
  <c r="N3" i="3"/>
  <c r="M3" i="3"/>
  <c r="L3" i="3"/>
  <c r="I3" i="3"/>
  <c r="G3" i="3" s="1"/>
  <c r="F3" i="3"/>
  <c r="E3" i="3"/>
  <c r="C3" i="3"/>
  <c r="A4" i="3"/>
  <c r="AW4" i="3" l="1"/>
  <c r="AM4" i="3" s="1"/>
  <c r="Q4" i="12"/>
  <c r="AK4" i="3"/>
  <c r="AS4" i="3"/>
  <c r="AV4" i="3"/>
  <c r="AA4" i="3"/>
  <c r="AF4" i="3"/>
  <c r="AN4" i="3"/>
  <c r="AP4" i="3"/>
  <c r="AR4" i="3"/>
  <c r="X4" i="3"/>
  <c r="AT4" i="3"/>
  <c r="Y4" i="3"/>
  <c r="AE4" i="3"/>
  <c r="R4" i="3"/>
  <c r="U4" i="3"/>
  <c r="T4" i="3"/>
  <c r="AX4" i="3"/>
  <c r="AU4" i="3"/>
  <c r="Q4" i="3"/>
  <c r="V4" i="3"/>
  <c r="P4" i="3"/>
  <c r="S4" i="3"/>
  <c r="O4" i="3"/>
  <c r="Z4" i="3"/>
  <c r="D4" i="3"/>
  <c r="AI3" i="3"/>
  <c r="W4" i="3"/>
  <c r="AL4" i="3"/>
  <c r="AB4" i="3"/>
  <c r="AO4" i="3"/>
  <c r="AG4" i="3"/>
  <c r="AQ4" i="3"/>
  <c r="AD4" i="3"/>
  <c r="B4" i="3"/>
  <c r="A5" i="3"/>
  <c r="Q5" i="12" s="1"/>
  <c r="M4" i="3"/>
  <c r="H4" i="3"/>
  <c r="K4" i="3"/>
  <c r="J4" i="3"/>
  <c r="F4" i="3"/>
  <c r="E4" i="3"/>
  <c r="N4" i="3"/>
  <c r="L4" i="3"/>
  <c r="I4" i="3"/>
  <c r="G4" i="3" s="1"/>
  <c r="C4" i="3"/>
  <c r="AW5" i="3" l="1"/>
  <c r="AC4" i="3"/>
  <c r="BN4" i="3"/>
  <c r="BH4" i="3"/>
  <c r="BB4" i="3"/>
  <c r="BT4" i="3"/>
  <c r="BA4" i="3"/>
  <c r="AH4" i="3"/>
  <c r="AI4" i="3" s="1"/>
  <c r="AY4" i="3"/>
  <c r="BZ4" i="3" s="1"/>
  <c r="AK5" i="3"/>
  <c r="AS5" i="3"/>
  <c r="AU5" i="3"/>
  <c r="Z5" i="3"/>
  <c r="AV5" i="3"/>
  <c r="AF5" i="3"/>
  <c r="AN5" i="3"/>
  <c r="AP5" i="3"/>
  <c r="AR5" i="3"/>
  <c r="X5" i="3"/>
  <c r="Y5" i="3"/>
  <c r="Q5" i="3"/>
  <c r="AE5" i="3"/>
  <c r="AC5" i="3" s="1"/>
  <c r="T5" i="3"/>
  <c r="V5" i="3"/>
  <c r="O5" i="3"/>
  <c r="AT5" i="3"/>
  <c r="R5" i="3"/>
  <c r="AA5" i="3"/>
  <c r="P5" i="3"/>
  <c r="AX5" i="3"/>
  <c r="U5" i="3"/>
  <c r="S5" i="3"/>
  <c r="D5" i="3"/>
  <c r="W5" i="3"/>
  <c r="AL5" i="3"/>
  <c r="AB5" i="3"/>
  <c r="AD5" i="3"/>
  <c r="AO5" i="3"/>
  <c r="AG5" i="3"/>
  <c r="AQ5" i="3"/>
  <c r="B5" i="3"/>
  <c r="CG3" i="3"/>
  <c r="A6" i="3"/>
  <c r="Q6" i="12" s="1"/>
  <c r="M5" i="3"/>
  <c r="H5" i="3"/>
  <c r="F5" i="3"/>
  <c r="E5" i="3"/>
  <c r="N5" i="3"/>
  <c r="L5" i="3"/>
  <c r="I5" i="3"/>
  <c r="G5" i="3" s="1"/>
  <c r="K5" i="3"/>
  <c r="J5" i="3"/>
  <c r="C5" i="3"/>
  <c r="AM5" i="3" l="1"/>
  <c r="BA5" i="3"/>
  <c r="BN5" i="3"/>
  <c r="BT5" i="3"/>
  <c r="BB5" i="3"/>
  <c r="BH5" i="3"/>
  <c r="AW6" i="3"/>
  <c r="AM6" i="3" s="1"/>
  <c r="AH5" i="3"/>
  <c r="AI5" i="3" s="1"/>
  <c r="BY5" i="3"/>
  <c r="AY5" i="3"/>
  <c r="CE4" i="3"/>
  <c r="CF4" i="3" s="1"/>
  <c r="BM5" i="3"/>
  <c r="AK6" i="3"/>
  <c r="AS6" i="3"/>
  <c r="AT6" i="3"/>
  <c r="Y6" i="3"/>
  <c r="AU6" i="3"/>
  <c r="AV6" i="3"/>
  <c r="AE6" i="3"/>
  <c r="AC6" i="3" s="1"/>
  <c r="AF6" i="3"/>
  <c r="AN6" i="3"/>
  <c r="AP6" i="3"/>
  <c r="P6" i="3"/>
  <c r="Z6" i="3"/>
  <c r="S6" i="3"/>
  <c r="AR6" i="3"/>
  <c r="AA6" i="3"/>
  <c r="U6" i="3"/>
  <c r="X6" i="3"/>
  <c r="T6" i="3"/>
  <c r="O6" i="3"/>
  <c r="Q6" i="3"/>
  <c r="V6" i="3"/>
  <c r="AX6" i="3"/>
  <c r="R6" i="3"/>
  <c r="D6" i="3"/>
  <c r="AD6" i="3"/>
  <c r="W6" i="3"/>
  <c r="AQ6" i="3"/>
  <c r="AL6" i="3"/>
  <c r="AB6" i="3"/>
  <c r="AO6" i="3"/>
  <c r="AG6" i="3"/>
  <c r="B6" i="3"/>
  <c r="A7" i="3"/>
  <c r="Q7" i="12" s="1"/>
  <c r="K6" i="3"/>
  <c r="J6" i="3"/>
  <c r="M6" i="3"/>
  <c r="H6" i="3"/>
  <c r="C6" i="3"/>
  <c r="F6" i="3"/>
  <c r="E6" i="3"/>
  <c r="N6" i="3"/>
  <c r="L6" i="3"/>
  <c r="I6" i="3"/>
  <c r="G6" i="3" s="1"/>
  <c r="G31" i="8"/>
  <c r="G30" i="8"/>
  <c r="F31" i="8"/>
  <c r="E31" i="8"/>
  <c r="D31" i="8"/>
  <c r="F30" i="8"/>
  <c r="E30" i="8"/>
  <c r="D30" i="8"/>
  <c r="F29" i="8"/>
  <c r="E29" i="8"/>
  <c r="D29" i="8"/>
  <c r="F27" i="8"/>
  <c r="E27" i="8"/>
  <c r="D27" i="8"/>
  <c r="F26" i="8"/>
  <c r="E26" i="8"/>
  <c r="D26" i="8"/>
  <c r="F25" i="8"/>
  <c r="E25" i="8"/>
  <c r="D25" i="8"/>
  <c r="F24" i="8"/>
  <c r="E24" i="8"/>
  <c r="D24" i="8"/>
  <c r="F23" i="8"/>
  <c r="E23" i="8"/>
  <c r="D23" i="8"/>
  <c r="F22" i="8"/>
  <c r="E22" i="8"/>
  <c r="D22" i="8"/>
  <c r="F21" i="8"/>
  <c r="E21" i="8"/>
  <c r="D21" i="8"/>
  <c r="F20" i="8"/>
  <c r="E20" i="8"/>
  <c r="D20" i="8"/>
  <c r="F19" i="8"/>
  <c r="E19" i="8"/>
  <c r="D19" i="8"/>
  <c r="F18" i="8"/>
  <c r="E18" i="8"/>
  <c r="D18" i="8"/>
  <c r="F17" i="8"/>
  <c r="E17" i="8"/>
  <c r="D17" i="8"/>
  <c r="F16" i="8"/>
  <c r="E16" i="8"/>
  <c r="D16" i="8"/>
  <c r="F15" i="8"/>
  <c r="E15" i="8"/>
  <c r="D15" i="8"/>
  <c r="F14" i="8"/>
  <c r="E14" i="8"/>
  <c r="D14" i="8"/>
  <c r="F13" i="8"/>
  <c r="E13" i="8"/>
  <c r="D13" i="8"/>
  <c r="F12" i="8"/>
  <c r="E12" i="8"/>
  <c r="D12" i="8"/>
  <c r="F11" i="8"/>
  <c r="E11" i="8"/>
  <c r="D11" i="8"/>
  <c r="F10" i="8"/>
  <c r="E10" i="8"/>
  <c r="D10" i="8"/>
  <c r="F9" i="8"/>
  <c r="E9" i="8"/>
  <c r="D9" i="8"/>
  <c r="F8" i="8"/>
  <c r="E8" i="8"/>
  <c r="D8" i="8"/>
  <c r="F7" i="8"/>
  <c r="E7" i="8"/>
  <c r="D7" i="8"/>
  <c r="F6" i="8"/>
  <c r="E6" i="8"/>
  <c r="D6" i="8"/>
  <c r="F5" i="8"/>
  <c r="E5" i="8"/>
  <c r="D5" i="8"/>
  <c r="F4" i="8"/>
  <c r="BS5" i="3" s="1"/>
  <c r="E4" i="8"/>
  <c r="D4" i="8"/>
  <c r="BG5" i="3" s="1"/>
  <c r="C31" i="8"/>
  <c r="C30" i="8"/>
  <c r="C29" i="8"/>
  <c r="C27" i="8"/>
  <c r="C26" i="8"/>
  <c r="C25" i="8"/>
  <c r="C24" i="8"/>
  <c r="C23" i="8"/>
  <c r="C22" i="8"/>
  <c r="C21" i="8"/>
  <c r="C20" i="8"/>
  <c r="C19" i="8"/>
  <c r="C18" i="8"/>
  <c r="C17" i="8"/>
  <c r="C16" i="8"/>
  <c r="C15" i="8"/>
  <c r="C14" i="8"/>
  <c r="C13" i="8"/>
  <c r="C12" i="8"/>
  <c r="C11" i="8"/>
  <c r="C10" i="8"/>
  <c r="C9" i="8"/>
  <c r="C8" i="8"/>
  <c r="C7" i="8"/>
  <c r="C6" i="8"/>
  <c r="C5" i="8"/>
  <c r="C4" i="8"/>
  <c r="F3" i="8"/>
  <c r="E3" i="8"/>
  <c r="D3" i="8"/>
  <c r="C3" i="8"/>
  <c r="F2" i="8"/>
  <c r="E2" i="8"/>
  <c r="D2" i="8"/>
  <c r="C2" i="8"/>
  <c r="BZ5" i="3" l="1"/>
  <c r="BN6" i="3"/>
  <c r="BB6" i="3"/>
  <c r="BH6" i="3"/>
  <c r="BA6" i="3"/>
  <c r="BT6" i="3"/>
  <c r="AW7" i="3"/>
  <c r="AM7" i="3" s="1"/>
  <c r="CG4" i="3"/>
  <c r="AH6" i="3"/>
  <c r="AI6" i="3" s="1"/>
  <c r="BY6" i="3"/>
  <c r="CE5" i="3"/>
  <c r="CF5" i="3" s="1"/>
  <c r="AY6" i="3"/>
  <c r="AK7" i="3"/>
  <c r="BM6" i="3"/>
  <c r="BG3" i="3"/>
  <c r="BS6" i="3"/>
  <c r="BG6" i="3"/>
  <c r="AS7" i="3"/>
  <c r="AR7" i="3"/>
  <c r="X7" i="3"/>
  <c r="AT7" i="3"/>
  <c r="AU7" i="3"/>
  <c r="AV7" i="3"/>
  <c r="AA7" i="3"/>
  <c r="AE7" i="3"/>
  <c r="AC7" i="3" s="1"/>
  <c r="AF7" i="3"/>
  <c r="AN7" i="3"/>
  <c r="O7" i="3"/>
  <c r="Y7" i="3"/>
  <c r="R7" i="3"/>
  <c r="Z7" i="3"/>
  <c r="V7" i="3"/>
  <c r="P7" i="3"/>
  <c r="U7" i="3"/>
  <c r="AP7" i="3"/>
  <c r="S7" i="3"/>
  <c r="AX7" i="3"/>
  <c r="T7" i="3"/>
  <c r="Q7" i="3"/>
  <c r="D7" i="3"/>
  <c r="BC5" i="3"/>
  <c r="BE5" i="3" s="1"/>
  <c r="BF5" i="3" s="1"/>
  <c r="BI5" i="3"/>
  <c r="BJ5" i="3" s="1"/>
  <c r="BO5" i="3"/>
  <c r="BP5" i="3" s="1"/>
  <c r="BU5" i="3"/>
  <c r="BV5" i="3" s="1"/>
  <c r="AQ7" i="3"/>
  <c r="AD7" i="3"/>
  <c r="W7" i="3"/>
  <c r="AG7" i="3"/>
  <c r="AL7" i="3"/>
  <c r="AB7" i="3"/>
  <c r="AO7" i="3"/>
  <c r="B7" i="3"/>
  <c r="G26" i="8"/>
  <c r="A8" i="3"/>
  <c r="Q8" i="12" s="1"/>
  <c r="K7" i="3"/>
  <c r="J7" i="3"/>
  <c r="M7" i="3"/>
  <c r="F7" i="3"/>
  <c r="E7" i="3"/>
  <c r="H7" i="3"/>
  <c r="N7" i="3"/>
  <c r="L7" i="3"/>
  <c r="I7" i="3"/>
  <c r="G7" i="3" s="1"/>
  <c r="C7" i="3"/>
  <c r="G20" i="8"/>
  <c r="G4" i="8"/>
  <c r="G11" i="8"/>
  <c r="G12" i="8"/>
  <c r="G15" i="8"/>
  <c r="G19" i="8"/>
  <c r="G5" i="8"/>
  <c r="G21" i="8"/>
  <c r="G7" i="8"/>
  <c r="G27" i="8"/>
  <c r="G6" i="8"/>
  <c r="G14" i="8"/>
  <c r="G22" i="8"/>
  <c r="G23" i="8"/>
  <c r="G8" i="8"/>
  <c r="G16" i="8"/>
  <c r="G24" i="8"/>
  <c r="G9" i="8"/>
  <c r="G17" i="8"/>
  <c r="G25" i="8"/>
  <c r="G10" i="8"/>
  <c r="G18" i="8"/>
  <c r="B8" i="9"/>
  <c r="B11" i="9" s="1"/>
  <c r="B14" i="9" s="1"/>
  <c r="B17" i="9" s="1"/>
  <c r="B20" i="9" s="1"/>
  <c r="B23" i="9" s="1"/>
  <c r="B26" i="9" s="1"/>
  <c r="B29" i="9" s="1"/>
  <c r="B32" i="9" s="1"/>
  <c r="B35" i="9" s="1"/>
  <c r="B38" i="9" s="1"/>
  <c r="B41" i="9" s="1"/>
  <c r="B44" i="9" s="1"/>
  <c r="B47" i="9" s="1"/>
  <c r="B50" i="9" s="1"/>
  <c r="B53" i="9" s="1"/>
  <c r="B56" i="9" s="1"/>
  <c r="B59" i="9" s="1"/>
  <c r="B62" i="9" s="1"/>
  <c r="B65" i="9" s="1"/>
  <c r="B68" i="9" s="1"/>
  <c r="B71" i="9" s="1"/>
  <c r="B74" i="9" s="1"/>
  <c r="B77" i="9" s="1"/>
  <c r="B80" i="9" s="1"/>
  <c r="B83" i="9" s="1"/>
  <c r="A3" i="8"/>
  <c r="BY3" i="3" s="1"/>
  <c r="BZ3" i="3" s="1"/>
  <c r="BB7" i="3" l="1"/>
  <c r="BH7" i="3"/>
  <c r="BN7" i="3"/>
  <c r="BA7" i="3"/>
  <c r="BT7" i="3"/>
  <c r="BZ6" i="3"/>
  <c r="BZ7" i="3"/>
  <c r="AW8" i="3"/>
  <c r="AM8" i="3" s="1"/>
  <c r="BS3" i="3"/>
  <c r="BM3" i="3"/>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BM4" i="3"/>
  <c r="BO4" i="3" s="1"/>
  <c r="BP4" i="3" s="1"/>
  <c r="BG4" i="3"/>
  <c r="BI4" i="3" s="1"/>
  <c r="BS4" i="3"/>
  <c r="BU4" i="3" s="1"/>
  <c r="BC3" i="3"/>
  <c r="BD3" i="3" s="1"/>
  <c r="BI3" i="3"/>
  <c r="AH7" i="3"/>
  <c r="AI7" i="3" s="1"/>
  <c r="CG5" i="3"/>
  <c r="BY7" i="3"/>
  <c r="AY7" i="3"/>
  <c r="CE6" i="3"/>
  <c r="CF6" i="3" s="1"/>
  <c r="BM7" i="3"/>
  <c r="AK8" i="3"/>
  <c r="BD5" i="3"/>
  <c r="BK5" i="3"/>
  <c r="BL5" i="3" s="1"/>
  <c r="BC6" i="3"/>
  <c r="BE6" i="3" s="1"/>
  <c r="BF6" i="3" s="1"/>
  <c r="BG7" i="3"/>
  <c r="BO6" i="3"/>
  <c r="BP6" i="3" s="1"/>
  <c r="BU6" i="3"/>
  <c r="BV6" i="3" s="1"/>
  <c r="BI6" i="3"/>
  <c r="BJ6" i="3" s="1"/>
  <c r="BS7" i="3"/>
  <c r="BW5" i="3"/>
  <c r="BX5" i="3" s="1"/>
  <c r="AS8" i="3"/>
  <c r="AP8" i="3"/>
  <c r="AR8" i="3"/>
  <c r="AT8" i="3"/>
  <c r="AU8" i="3"/>
  <c r="Z8" i="3"/>
  <c r="AV8" i="3"/>
  <c r="AA8" i="3"/>
  <c r="AE8" i="3"/>
  <c r="AC8" i="3" s="1"/>
  <c r="AF8" i="3"/>
  <c r="V8" i="3"/>
  <c r="Q8" i="3"/>
  <c r="AN8" i="3"/>
  <c r="P8" i="3"/>
  <c r="X8" i="3"/>
  <c r="U8" i="3"/>
  <c r="Y8" i="3"/>
  <c r="T8" i="3"/>
  <c r="S8" i="3"/>
  <c r="O8" i="3"/>
  <c r="AX8" i="3"/>
  <c r="R8" i="3"/>
  <c r="D8" i="3"/>
  <c r="BQ5" i="3"/>
  <c r="BR5" i="3" s="1"/>
  <c r="AG8" i="3"/>
  <c r="AQ8" i="3"/>
  <c r="AO8" i="3"/>
  <c r="AD8" i="3"/>
  <c r="W8" i="3"/>
  <c r="AL8" i="3"/>
  <c r="AB8" i="3"/>
  <c r="B8" i="3"/>
  <c r="A9" i="3"/>
  <c r="Q9" i="12" s="1"/>
  <c r="H8" i="3"/>
  <c r="K8" i="3"/>
  <c r="J8" i="3"/>
  <c r="M8" i="3"/>
  <c r="C8" i="3"/>
  <c r="F8" i="3"/>
  <c r="E8" i="3"/>
  <c r="L8" i="3"/>
  <c r="I8" i="3"/>
  <c r="G8" i="3" s="1"/>
  <c r="N8" i="3"/>
  <c r="BN8" i="3" l="1"/>
  <c r="BB8" i="3"/>
  <c r="BH8" i="3"/>
  <c r="BA8" i="3"/>
  <c r="BZ8" i="3"/>
  <c r="BT8" i="3"/>
  <c r="AW9" i="3"/>
  <c r="BZ9" i="3" s="1"/>
  <c r="BO3" i="3"/>
  <c r="BP3" i="3" s="1"/>
  <c r="BQ4" i="3"/>
  <c r="BR4" i="3" s="1"/>
  <c r="BV4" i="3"/>
  <c r="BW4" i="3"/>
  <c r="BX4" i="3" s="1"/>
  <c r="BK3" i="3"/>
  <c r="BL3" i="3" s="1"/>
  <c r="BJ3" i="3"/>
  <c r="BJ4" i="3"/>
  <c r="BK4" i="3"/>
  <c r="BL4" i="3" s="1"/>
  <c r="BC4" i="3"/>
  <c r="BY4" i="3"/>
  <c r="BU3" i="3"/>
  <c r="BW3" i="3" s="1"/>
  <c r="BX3" i="3" s="1"/>
  <c r="CG6" i="3"/>
  <c r="AH8" i="3"/>
  <c r="AI8" i="3" s="1"/>
  <c r="AY8" i="3"/>
  <c r="CE7" i="3"/>
  <c r="CF7" i="3" s="1"/>
  <c r="BY8" i="3"/>
  <c r="BM8" i="3"/>
  <c r="AK9" i="3"/>
  <c r="BE3" i="3"/>
  <c r="BF3" i="3" s="1"/>
  <c r="BQ6" i="3"/>
  <c r="BR6" i="3" s="1"/>
  <c r="BK6" i="3"/>
  <c r="BL6" i="3" s="1"/>
  <c r="BD6" i="3"/>
  <c r="BI7" i="3"/>
  <c r="BJ7" i="3" s="1"/>
  <c r="BW6" i="3"/>
  <c r="BX6" i="3" s="1"/>
  <c r="BU7" i="3"/>
  <c r="BV7" i="3" s="1"/>
  <c r="BS8" i="3"/>
  <c r="BC7" i="3"/>
  <c r="BD7" i="3" s="1"/>
  <c r="BO7" i="3"/>
  <c r="BP7" i="3" s="1"/>
  <c r="BG8" i="3"/>
  <c r="AS9" i="3"/>
  <c r="AN9" i="3"/>
  <c r="AP9" i="3"/>
  <c r="AR9" i="3"/>
  <c r="AT9" i="3"/>
  <c r="Y9" i="3"/>
  <c r="AU9" i="3"/>
  <c r="Z9" i="3"/>
  <c r="AV9" i="3"/>
  <c r="AA9" i="3"/>
  <c r="AE9" i="3"/>
  <c r="X9" i="3"/>
  <c r="U9" i="3"/>
  <c r="P9" i="3"/>
  <c r="AF9" i="3"/>
  <c r="Q9" i="3"/>
  <c r="V9" i="3"/>
  <c r="T9" i="3"/>
  <c r="R9" i="3"/>
  <c r="AX9" i="3"/>
  <c r="S9" i="3"/>
  <c r="O9" i="3"/>
  <c r="D9" i="3"/>
  <c r="AO9" i="3"/>
  <c r="AG9" i="3"/>
  <c r="AQ9" i="3"/>
  <c r="AD9" i="3"/>
  <c r="AB9" i="3"/>
  <c r="W9" i="3"/>
  <c r="AL9" i="3"/>
  <c r="B9" i="3"/>
  <c r="A10" i="3"/>
  <c r="Q10" i="12" s="1"/>
  <c r="H9" i="3"/>
  <c r="K9" i="3"/>
  <c r="J9" i="3"/>
  <c r="M9" i="3"/>
  <c r="N9" i="3"/>
  <c r="L9" i="3"/>
  <c r="I9" i="3"/>
  <c r="G9" i="3" s="1"/>
  <c r="F9" i="3"/>
  <c r="E9" i="3"/>
  <c r="C9" i="3"/>
  <c r="BT9" i="3" l="1"/>
  <c r="AM9" i="3"/>
  <c r="BH9" i="3"/>
  <c r="BN9" i="3"/>
  <c r="BB9" i="3"/>
  <c r="BA9" i="3"/>
  <c r="AW10" i="3"/>
  <c r="BZ10" i="3" s="1"/>
  <c r="BQ3" i="3"/>
  <c r="BR3" i="3" s="1"/>
  <c r="BV3" i="3"/>
  <c r="BE4" i="3"/>
  <c r="BF4" i="3" s="1"/>
  <c r="BD4" i="3"/>
  <c r="AH9" i="3"/>
  <c r="AI9" i="3" s="1"/>
  <c r="CE8" i="3"/>
  <c r="CF8" i="3" s="1"/>
  <c r="AY9" i="3"/>
  <c r="AK10" i="3"/>
  <c r="BM9" i="3"/>
  <c r="BO8" i="3"/>
  <c r="BP8" i="3" s="1"/>
  <c r="BI8" i="3"/>
  <c r="BJ8" i="3" s="1"/>
  <c r="BU8" i="3"/>
  <c r="BV8" i="3" s="1"/>
  <c r="BC8" i="3"/>
  <c r="BD8" i="3" s="1"/>
  <c r="BS9" i="3"/>
  <c r="BG9" i="3"/>
  <c r="AC9" i="3"/>
  <c r="AS10" i="3"/>
  <c r="AF10" i="3"/>
  <c r="AN10" i="3"/>
  <c r="AP10" i="3"/>
  <c r="AR10" i="3"/>
  <c r="X10" i="3"/>
  <c r="AT10" i="3"/>
  <c r="Y10" i="3"/>
  <c r="AU10" i="3"/>
  <c r="Z10" i="3"/>
  <c r="AV10" i="3"/>
  <c r="AA10" i="3"/>
  <c r="T10" i="3"/>
  <c r="O10" i="3"/>
  <c r="R10" i="3"/>
  <c r="Q10" i="3"/>
  <c r="V10" i="3"/>
  <c r="AE10" i="3"/>
  <c r="BA10" i="3" s="1"/>
  <c r="U10" i="3"/>
  <c r="P10" i="3"/>
  <c r="S10" i="3"/>
  <c r="AX10" i="3"/>
  <c r="D10" i="3"/>
  <c r="AB10" i="3"/>
  <c r="AO10" i="3"/>
  <c r="AG10" i="3"/>
  <c r="AQ10" i="3"/>
  <c r="AD10" i="3"/>
  <c r="AL10" i="3"/>
  <c r="W10" i="3"/>
  <c r="B10" i="3"/>
  <c r="A11" i="3"/>
  <c r="Q11" i="12" s="1"/>
  <c r="H10" i="3"/>
  <c r="K10" i="3"/>
  <c r="J10" i="3"/>
  <c r="M10" i="3"/>
  <c r="N10" i="3"/>
  <c r="L10" i="3"/>
  <c r="I10" i="3"/>
  <c r="G10" i="3" s="1"/>
  <c r="C10" i="3"/>
  <c r="F10" i="3"/>
  <c r="E10" i="3"/>
  <c r="B3" i="6"/>
  <c r="B4" i="6" s="1"/>
  <c r="B5" i="6" s="1"/>
  <c r="B6" i="6" s="1"/>
  <c r="B7" i="6" s="1"/>
  <c r="B8" i="6" s="1"/>
  <c r="B9" i="6" s="1"/>
  <c r="B10" i="6" s="1"/>
  <c r="B11" i="6" s="1"/>
  <c r="B12" i="6" s="1"/>
  <c r="B13" i="6" s="1"/>
  <c r="B14" i="6" s="1"/>
  <c r="B15" i="6" s="1"/>
  <c r="AM10" i="3" l="1"/>
  <c r="BN10" i="3"/>
  <c r="BT10" i="3"/>
  <c r="BB10" i="3"/>
  <c r="BH10" i="3"/>
  <c r="AW11" i="3"/>
  <c r="AM11" i="3" s="1"/>
  <c r="AH10" i="3"/>
  <c r="AI10" i="3" s="1"/>
  <c r="CE9" i="3"/>
  <c r="CF9" i="3" s="1"/>
  <c r="BY9" i="3"/>
  <c r="AY10" i="3"/>
  <c r="BM10" i="3"/>
  <c r="AK11" i="3"/>
  <c r="BU9" i="3"/>
  <c r="BV9" i="3" s="1"/>
  <c r="BO9" i="3"/>
  <c r="BP9" i="3" s="1"/>
  <c r="BG10" i="3"/>
  <c r="BI9" i="3"/>
  <c r="BJ9" i="3" s="1"/>
  <c r="BS10" i="3"/>
  <c r="BC9" i="3"/>
  <c r="BD9" i="3" s="1"/>
  <c r="AC10" i="3"/>
  <c r="AS11" i="3"/>
  <c r="AE11" i="3"/>
  <c r="AF11" i="3"/>
  <c r="AN11" i="3"/>
  <c r="AP11" i="3"/>
  <c r="AR11" i="3"/>
  <c r="X11" i="3"/>
  <c r="AT11" i="3"/>
  <c r="Y11" i="3"/>
  <c r="AU11" i="3"/>
  <c r="Z11" i="3"/>
  <c r="S11" i="3"/>
  <c r="V11" i="3"/>
  <c r="AX11" i="3"/>
  <c r="AA11" i="3"/>
  <c r="R11" i="3"/>
  <c r="AV11" i="3"/>
  <c r="U11" i="3"/>
  <c r="O11" i="3"/>
  <c r="T11" i="3"/>
  <c r="Q11" i="3"/>
  <c r="P11" i="3"/>
  <c r="D11" i="3"/>
  <c r="AL11" i="3"/>
  <c r="AB11" i="3"/>
  <c r="AO11" i="3"/>
  <c r="AG11" i="3"/>
  <c r="AQ11" i="3"/>
  <c r="AD11" i="3"/>
  <c r="W11" i="3"/>
  <c r="B11" i="3"/>
  <c r="A12" i="3"/>
  <c r="Q12" i="12" s="1"/>
  <c r="H11" i="3"/>
  <c r="K11" i="3"/>
  <c r="J11" i="3"/>
  <c r="M11" i="3"/>
  <c r="N11" i="3"/>
  <c r="L11" i="3"/>
  <c r="I11" i="3"/>
  <c r="G11" i="3" s="1"/>
  <c r="C11" i="3"/>
  <c r="F11" i="3"/>
  <c r="E11" i="3"/>
  <c r="B16" i="6"/>
  <c r="B17" i="6" s="1"/>
  <c r="B18" i="6" s="1"/>
  <c r="B19" i="6" s="1"/>
  <c r="B20" i="6" s="1"/>
  <c r="B21" i="6" s="1"/>
  <c r="B22" i="6" s="1"/>
  <c r="B23" i="6" s="1"/>
  <c r="B24" i="6" s="1"/>
  <c r="B25" i="6" s="1"/>
  <c r="B26" i="6" s="1"/>
  <c r="BA11" i="3" l="1"/>
  <c r="BZ11" i="3"/>
  <c r="BT11" i="3"/>
  <c r="BH11" i="3"/>
  <c r="BN11" i="3"/>
  <c r="BB11" i="3"/>
  <c r="AW12" i="3"/>
  <c r="AM12" i="3" s="1"/>
  <c r="AH11" i="3"/>
  <c r="AI11" i="3" s="1"/>
  <c r="BY10" i="3"/>
  <c r="AY11" i="3"/>
  <c r="CE10" i="3"/>
  <c r="CF10" i="3" s="1"/>
  <c r="BM11" i="3"/>
  <c r="AK12" i="3"/>
  <c r="BC10" i="3"/>
  <c r="BD10" i="3" s="1"/>
  <c r="BO10" i="3"/>
  <c r="BP10" i="3" s="1"/>
  <c r="BI10" i="3"/>
  <c r="BJ10" i="3" s="1"/>
  <c r="BU10" i="3"/>
  <c r="BV10" i="3" s="1"/>
  <c r="BS11" i="3"/>
  <c r="AC11" i="3"/>
  <c r="BG11" i="3"/>
  <c r="AS12" i="3"/>
  <c r="AV12" i="3"/>
  <c r="AA12" i="3"/>
  <c r="AN12" i="3"/>
  <c r="AP12" i="3"/>
  <c r="AR12" i="3"/>
  <c r="X12" i="3"/>
  <c r="AT12" i="3"/>
  <c r="Y12" i="3"/>
  <c r="R12" i="3"/>
  <c r="AE12" i="3"/>
  <c r="AC12" i="3" s="1"/>
  <c r="U12" i="3"/>
  <c r="AU12" i="3"/>
  <c r="AF12" i="3"/>
  <c r="S12" i="3"/>
  <c r="AX12" i="3"/>
  <c r="P12" i="3"/>
  <c r="V12" i="3"/>
  <c r="T12" i="3"/>
  <c r="Q12" i="3"/>
  <c r="Z12" i="3"/>
  <c r="O12" i="3"/>
  <c r="D12" i="3"/>
  <c r="W12" i="3"/>
  <c r="AL12" i="3"/>
  <c r="AB12" i="3"/>
  <c r="AO12" i="3"/>
  <c r="AG12" i="3"/>
  <c r="AQ12" i="3"/>
  <c r="AD12" i="3"/>
  <c r="B12" i="3"/>
  <c r="A13" i="3"/>
  <c r="Q13" i="12" s="1"/>
  <c r="M12" i="3"/>
  <c r="H12" i="3"/>
  <c r="K12" i="3"/>
  <c r="J12" i="3"/>
  <c r="F12" i="3"/>
  <c r="E12" i="3"/>
  <c r="N12" i="3"/>
  <c r="L12" i="3"/>
  <c r="I12" i="3"/>
  <c r="G12" i="3" s="1"/>
  <c r="C12" i="3"/>
  <c r="BB12" i="3" l="1"/>
  <c r="BT12" i="3"/>
  <c r="BZ12" i="3"/>
  <c r="BH12" i="3"/>
  <c r="BN12" i="3"/>
  <c r="BA12" i="3"/>
  <c r="AW13" i="3"/>
  <c r="AM13" i="3" s="1"/>
  <c r="AH12" i="3"/>
  <c r="AI12" i="3" s="1"/>
  <c r="BY12" i="3"/>
  <c r="AY12" i="3"/>
  <c r="CE11" i="3"/>
  <c r="CF11" i="3" s="1"/>
  <c r="BY11" i="3"/>
  <c r="BM12" i="3"/>
  <c r="AK13" i="3"/>
  <c r="BI11" i="3"/>
  <c r="BK11" i="3" s="1"/>
  <c r="BL11" i="3" s="1"/>
  <c r="BU11" i="3"/>
  <c r="BW11" i="3" s="1"/>
  <c r="BX11" i="3" s="1"/>
  <c r="BS12" i="3"/>
  <c r="BG12" i="3"/>
  <c r="BC11" i="3"/>
  <c r="BD11" i="3" s="1"/>
  <c r="BO11" i="3"/>
  <c r="BP11" i="3" s="1"/>
  <c r="AS13" i="3"/>
  <c r="AU13" i="3"/>
  <c r="Z13" i="3"/>
  <c r="AV13" i="3"/>
  <c r="AF13" i="3"/>
  <c r="AN13" i="3"/>
  <c r="AP13" i="3"/>
  <c r="AR13" i="3"/>
  <c r="X13" i="3"/>
  <c r="AA13" i="3"/>
  <c r="Q13" i="3"/>
  <c r="Y13" i="3"/>
  <c r="T13" i="3"/>
  <c r="S13" i="3"/>
  <c r="AT13" i="3"/>
  <c r="AE13" i="3"/>
  <c r="AC13" i="3" s="1"/>
  <c r="V13" i="3"/>
  <c r="O13" i="3"/>
  <c r="AX13" i="3"/>
  <c r="R13" i="3"/>
  <c r="U13" i="3"/>
  <c r="P13" i="3"/>
  <c r="D13" i="3"/>
  <c r="W13" i="3"/>
  <c r="AL13" i="3"/>
  <c r="AD13" i="3"/>
  <c r="AB13" i="3"/>
  <c r="AO13" i="3"/>
  <c r="AG13" i="3"/>
  <c r="AQ13" i="3"/>
  <c r="B13" i="3"/>
  <c r="A14" i="3"/>
  <c r="Q14" i="12" s="1"/>
  <c r="M13" i="3"/>
  <c r="H13" i="3"/>
  <c r="J13" i="3"/>
  <c r="F13" i="3"/>
  <c r="E13" i="3"/>
  <c r="N13" i="3"/>
  <c r="L13" i="3"/>
  <c r="I13" i="3"/>
  <c r="G13" i="3" s="1"/>
  <c r="K13" i="3"/>
  <c r="C13" i="3"/>
  <c r="BN13" i="3" l="1"/>
  <c r="BB13" i="3"/>
  <c r="BH13" i="3"/>
  <c r="BA13" i="3"/>
  <c r="BZ13" i="3"/>
  <c r="BT13" i="3"/>
  <c r="AW14" i="3"/>
  <c r="BZ14" i="3" s="1"/>
  <c r="CG11" i="3"/>
  <c r="AH13" i="3"/>
  <c r="AI13" i="3" s="1"/>
  <c r="BY13" i="3"/>
  <c r="AY13" i="3"/>
  <c r="CE12" i="3"/>
  <c r="CF12" i="3" s="1"/>
  <c r="AK14" i="3"/>
  <c r="BM13" i="3"/>
  <c r="BJ11" i="3"/>
  <c r="BU12" i="3"/>
  <c r="BV12" i="3" s="1"/>
  <c r="BI12" i="3"/>
  <c r="BK12" i="3" s="1"/>
  <c r="BL12" i="3" s="1"/>
  <c r="BS13" i="3"/>
  <c r="BQ11" i="3"/>
  <c r="BR11" i="3" s="1"/>
  <c r="BC12" i="3"/>
  <c r="BD12" i="3" s="1"/>
  <c r="BV11" i="3"/>
  <c r="BE11" i="3"/>
  <c r="BF11" i="3" s="1"/>
  <c r="BG13" i="3"/>
  <c r="BO12" i="3"/>
  <c r="BP12" i="3" s="1"/>
  <c r="AS14" i="3"/>
  <c r="AT14" i="3"/>
  <c r="Y14" i="3"/>
  <c r="AU14" i="3"/>
  <c r="AV14" i="3"/>
  <c r="AE14" i="3"/>
  <c r="AF14" i="3"/>
  <c r="AN14" i="3"/>
  <c r="AP14" i="3"/>
  <c r="P14" i="3"/>
  <c r="AA14" i="3"/>
  <c r="X14" i="3"/>
  <c r="S14" i="3"/>
  <c r="U14" i="3"/>
  <c r="AR14" i="3"/>
  <c r="Z14" i="3"/>
  <c r="Q14" i="3"/>
  <c r="O14" i="3"/>
  <c r="AX14" i="3"/>
  <c r="R14" i="3"/>
  <c r="V14" i="3"/>
  <c r="T14" i="3"/>
  <c r="D14" i="3"/>
  <c r="AD14" i="3"/>
  <c r="AQ14" i="3"/>
  <c r="W14" i="3"/>
  <c r="AL14" i="3"/>
  <c r="AB14" i="3"/>
  <c r="AO14" i="3"/>
  <c r="AG14" i="3"/>
  <c r="B14" i="3"/>
  <c r="A15" i="3"/>
  <c r="Q15" i="12" s="1"/>
  <c r="K14" i="3"/>
  <c r="J14" i="3"/>
  <c r="M14" i="3"/>
  <c r="H14" i="3"/>
  <c r="C14" i="3"/>
  <c r="F14" i="3"/>
  <c r="E14" i="3"/>
  <c r="N14" i="3"/>
  <c r="L14" i="3"/>
  <c r="I14" i="3"/>
  <c r="G14" i="3" s="1"/>
  <c r="BT14" i="3" l="1"/>
  <c r="BB14" i="3"/>
  <c r="AM14" i="3"/>
  <c r="BH14" i="3"/>
  <c r="BA14" i="3"/>
  <c r="CG12" i="3"/>
  <c r="BN14" i="3"/>
  <c r="AW15" i="3"/>
  <c r="AM15" i="3" s="1"/>
  <c r="AH14" i="3"/>
  <c r="AI14" i="3" s="1"/>
  <c r="CE13" i="3"/>
  <c r="CF13" i="3" s="1"/>
  <c r="AY14" i="3"/>
  <c r="BM14" i="3"/>
  <c r="AK15" i="3"/>
  <c r="BI13" i="3"/>
  <c r="BJ13" i="3" s="1"/>
  <c r="BW12" i="3"/>
  <c r="BX12" i="3" s="1"/>
  <c r="BJ12" i="3"/>
  <c r="BE12" i="3"/>
  <c r="BF12" i="3" s="1"/>
  <c r="BU13" i="3"/>
  <c r="BV13" i="3" s="1"/>
  <c r="BC13" i="3"/>
  <c r="BD13" i="3" s="1"/>
  <c r="BQ12" i="3"/>
  <c r="BR12" i="3" s="1"/>
  <c r="BO13" i="3"/>
  <c r="BP13" i="3" s="1"/>
  <c r="BG14" i="3"/>
  <c r="BS14" i="3"/>
  <c r="AC14" i="3"/>
  <c r="AS15" i="3"/>
  <c r="AR15" i="3"/>
  <c r="X15" i="3"/>
  <c r="AT15" i="3"/>
  <c r="AU15" i="3"/>
  <c r="AV15" i="3"/>
  <c r="AA15" i="3"/>
  <c r="AE15" i="3"/>
  <c r="AC15" i="3" s="1"/>
  <c r="AF15" i="3"/>
  <c r="AN15" i="3"/>
  <c r="O15" i="3"/>
  <c r="R15" i="3"/>
  <c r="V15" i="3"/>
  <c r="T15" i="3"/>
  <c r="Z15" i="3"/>
  <c r="AX15" i="3"/>
  <c r="AP15" i="3"/>
  <c r="S15" i="3"/>
  <c r="Y15" i="3"/>
  <c r="Q15" i="3"/>
  <c r="U15" i="3"/>
  <c r="P15" i="3"/>
  <c r="D15" i="3"/>
  <c r="AQ15" i="3"/>
  <c r="AD15" i="3"/>
  <c r="W15" i="3"/>
  <c r="AL15" i="3"/>
  <c r="AB15" i="3"/>
  <c r="AG15" i="3"/>
  <c r="AO15" i="3"/>
  <c r="B15" i="3"/>
  <c r="A16" i="3"/>
  <c r="Q16" i="12" s="1"/>
  <c r="K15" i="3"/>
  <c r="J15" i="3"/>
  <c r="M15" i="3"/>
  <c r="F15" i="3"/>
  <c r="E15" i="3"/>
  <c r="N15" i="3"/>
  <c r="L15" i="3"/>
  <c r="I15" i="3"/>
  <c r="G15" i="3" s="1"/>
  <c r="H15" i="3"/>
  <c r="C15" i="3"/>
  <c r="BT15" i="3" l="1"/>
  <c r="BZ15" i="3"/>
  <c r="BB15" i="3"/>
  <c r="BH15" i="3"/>
  <c r="BN15" i="3"/>
  <c r="BA15" i="3"/>
  <c r="AW16" i="3"/>
  <c r="BZ16" i="3" s="1"/>
  <c r="AH15" i="3"/>
  <c r="AI15" i="3" s="1"/>
  <c r="CG13" i="3"/>
  <c r="BY15" i="3"/>
  <c r="AY15" i="3"/>
  <c r="CE15" i="3" s="1"/>
  <c r="CF15" i="3" s="1"/>
  <c r="BY14" i="3"/>
  <c r="CE14" i="3"/>
  <c r="CF14" i="3" s="1"/>
  <c r="AK16" i="3"/>
  <c r="BM15" i="3"/>
  <c r="BK13" i="3"/>
  <c r="BL13" i="3" s="1"/>
  <c r="BI14" i="3"/>
  <c r="BK14" i="3" s="1"/>
  <c r="BL14" i="3" s="1"/>
  <c r="BW13" i="3"/>
  <c r="BX13" i="3" s="1"/>
  <c r="BQ13" i="3"/>
  <c r="BR13" i="3" s="1"/>
  <c r="BC14" i="3"/>
  <c r="BE14" i="3" s="1"/>
  <c r="BF14" i="3" s="1"/>
  <c r="BO14" i="3"/>
  <c r="BQ14" i="3" s="1"/>
  <c r="BR14" i="3" s="1"/>
  <c r="BE13" i="3"/>
  <c r="BF13" i="3" s="1"/>
  <c r="BU14" i="3"/>
  <c r="BW14" i="3" s="1"/>
  <c r="BX14" i="3" s="1"/>
  <c r="BG15" i="3"/>
  <c r="BS15" i="3"/>
  <c r="AS16" i="3"/>
  <c r="AP16" i="3"/>
  <c r="AR16" i="3"/>
  <c r="AT16" i="3"/>
  <c r="AU16" i="3"/>
  <c r="Z16" i="3"/>
  <c r="AV16" i="3"/>
  <c r="AA16" i="3"/>
  <c r="AE16" i="3"/>
  <c r="AC16" i="3" s="1"/>
  <c r="AF16" i="3"/>
  <c r="V16" i="3"/>
  <c r="Q16" i="3"/>
  <c r="Y16" i="3"/>
  <c r="U16" i="3"/>
  <c r="O16" i="3"/>
  <c r="T16" i="3"/>
  <c r="AN16" i="3"/>
  <c r="R16" i="3"/>
  <c r="P16" i="3"/>
  <c r="S16" i="3"/>
  <c r="AX16" i="3"/>
  <c r="X16" i="3"/>
  <c r="D16" i="3"/>
  <c r="AG16" i="3"/>
  <c r="AQ16" i="3"/>
  <c r="AD16" i="3"/>
  <c r="W16" i="3"/>
  <c r="AO16" i="3"/>
  <c r="AL16" i="3"/>
  <c r="AB16" i="3"/>
  <c r="B16" i="3"/>
  <c r="A17" i="3"/>
  <c r="Q17" i="12" s="1"/>
  <c r="H16" i="3"/>
  <c r="K16" i="3"/>
  <c r="J16" i="3"/>
  <c r="M16" i="3"/>
  <c r="C16" i="3"/>
  <c r="F16" i="3"/>
  <c r="E16" i="3"/>
  <c r="N16" i="3"/>
  <c r="L16" i="3"/>
  <c r="I16" i="3"/>
  <c r="G16" i="3" s="1"/>
  <c r="AM16" i="3" l="1"/>
  <c r="BH16" i="3"/>
  <c r="BN16" i="3"/>
  <c r="BA16" i="3"/>
  <c r="BT16" i="3"/>
  <c r="BB16" i="3"/>
  <c r="AW17" i="3"/>
  <c r="AM17" i="3" s="1"/>
  <c r="AH16" i="3"/>
  <c r="AI16" i="3" s="1"/>
  <c r="BY16" i="3"/>
  <c r="CG14" i="3"/>
  <c r="AY16" i="3"/>
  <c r="BM16" i="3"/>
  <c r="AK17" i="3"/>
  <c r="BJ14" i="3"/>
  <c r="BP14" i="3"/>
  <c r="BD14" i="3"/>
  <c r="BV14" i="3"/>
  <c r="BC15" i="3"/>
  <c r="BD15" i="3" s="1"/>
  <c r="BI15" i="3"/>
  <c r="BJ15" i="3" s="1"/>
  <c r="BO15" i="3"/>
  <c r="BP15" i="3" s="1"/>
  <c r="BU15" i="3"/>
  <c r="BW15" i="3" s="1"/>
  <c r="BX15" i="3" s="1"/>
  <c r="BG16" i="3"/>
  <c r="BS16" i="3"/>
  <c r="AS17" i="3"/>
  <c r="AN17" i="3"/>
  <c r="AP17" i="3"/>
  <c r="AR17" i="3"/>
  <c r="AT17" i="3"/>
  <c r="Y17" i="3"/>
  <c r="AU17" i="3"/>
  <c r="Z17" i="3"/>
  <c r="AV17" i="3"/>
  <c r="AA17" i="3"/>
  <c r="AE17" i="3"/>
  <c r="U17" i="3"/>
  <c r="X17" i="3"/>
  <c r="P17" i="3"/>
  <c r="AF17" i="3"/>
  <c r="O17" i="3"/>
  <c r="S17" i="3"/>
  <c r="R17" i="3"/>
  <c r="AX17" i="3"/>
  <c r="V17" i="3"/>
  <c r="T17" i="3"/>
  <c r="Q17" i="3"/>
  <c r="D17" i="3"/>
  <c r="AO17" i="3"/>
  <c r="AG17" i="3"/>
  <c r="AQ17" i="3"/>
  <c r="AB17" i="3"/>
  <c r="AD17" i="3"/>
  <c r="W17" i="3"/>
  <c r="AL17" i="3"/>
  <c r="B17" i="3"/>
  <c r="CG15" i="3"/>
  <c r="A18" i="3"/>
  <c r="Q18" i="12" s="1"/>
  <c r="H17" i="3"/>
  <c r="K17" i="3"/>
  <c r="J17" i="3"/>
  <c r="M17" i="3"/>
  <c r="N17" i="3"/>
  <c r="L17" i="3"/>
  <c r="I17" i="3"/>
  <c r="G17" i="3" s="1"/>
  <c r="F17" i="3"/>
  <c r="E17" i="3"/>
  <c r="C17" i="3"/>
  <c r="BA17" i="3" l="1"/>
  <c r="BN17" i="3"/>
  <c r="BZ17" i="3"/>
  <c r="BT17" i="3"/>
  <c r="BB17" i="3"/>
  <c r="BH17" i="3"/>
  <c r="AW18" i="3"/>
  <c r="AM18" i="3" s="1"/>
  <c r="AH17" i="3"/>
  <c r="AI17" i="3" s="1"/>
  <c r="CE16" i="3"/>
  <c r="CF16" i="3" s="1"/>
  <c r="AY17" i="3"/>
  <c r="AK18" i="3"/>
  <c r="BM17" i="3"/>
  <c r="BV15" i="3"/>
  <c r="BC16" i="3"/>
  <c r="BE16" i="3" s="1"/>
  <c r="BF16" i="3" s="1"/>
  <c r="BQ15" i="3"/>
  <c r="BR15" i="3" s="1"/>
  <c r="BK15" i="3"/>
  <c r="BL15" i="3" s="1"/>
  <c r="BE15" i="3"/>
  <c r="BF15" i="3" s="1"/>
  <c r="BO16" i="3"/>
  <c r="BP16" i="3" s="1"/>
  <c r="BU16" i="3"/>
  <c r="BV16" i="3" s="1"/>
  <c r="BI16" i="3"/>
  <c r="BJ16" i="3" s="1"/>
  <c r="BS17" i="3"/>
  <c r="AC17" i="3"/>
  <c r="AS18" i="3"/>
  <c r="AF18" i="3"/>
  <c r="AN18" i="3"/>
  <c r="AP18" i="3"/>
  <c r="AR18" i="3"/>
  <c r="X18" i="3"/>
  <c r="AT18" i="3"/>
  <c r="Y18" i="3"/>
  <c r="AU18" i="3"/>
  <c r="Z18" i="3"/>
  <c r="AV18" i="3"/>
  <c r="AA18" i="3"/>
  <c r="T18" i="3"/>
  <c r="O18" i="3"/>
  <c r="V18" i="3"/>
  <c r="P18" i="3"/>
  <c r="U18" i="3"/>
  <c r="AE18" i="3"/>
  <c r="S18" i="3"/>
  <c r="R18" i="3"/>
  <c r="AX18" i="3"/>
  <c r="Q18" i="3"/>
  <c r="D18" i="3"/>
  <c r="BG17" i="3"/>
  <c r="AB18" i="3"/>
  <c r="AO18" i="3"/>
  <c r="AG18" i="3"/>
  <c r="AL18" i="3"/>
  <c r="AQ18" i="3"/>
  <c r="AD18" i="3"/>
  <c r="W18" i="3"/>
  <c r="B18" i="3"/>
  <c r="A19" i="3"/>
  <c r="Q19" i="12" s="1"/>
  <c r="H18" i="3"/>
  <c r="K18" i="3"/>
  <c r="J18" i="3"/>
  <c r="M18" i="3"/>
  <c r="N18" i="3"/>
  <c r="L18" i="3"/>
  <c r="I18" i="3"/>
  <c r="G18" i="3" s="1"/>
  <c r="C18" i="3"/>
  <c r="F18" i="3"/>
  <c r="E18" i="3"/>
  <c r="BH18" i="3" l="1"/>
  <c r="CG16" i="3"/>
  <c r="BA18" i="3"/>
  <c r="BZ18" i="3"/>
  <c r="BT18" i="3"/>
  <c r="BN18" i="3"/>
  <c r="BB18" i="3"/>
  <c r="AW19" i="3"/>
  <c r="AM19" i="3" s="1"/>
  <c r="AH18" i="3"/>
  <c r="AI18" i="3" s="1"/>
  <c r="CE17" i="3"/>
  <c r="CF17" i="3" s="1"/>
  <c r="BY17" i="3"/>
  <c r="AY18" i="3"/>
  <c r="BM18" i="3"/>
  <c r="AK19" i="3"/>
  <c r="BU17" i="3"/>
  <c r="BW17" i="3" s="1"/>
  <c r="BX17" i="3" s="1"/>
  <c r="BD16" i="3"/>
  <c r="BK16" i="3"/>
  <c r="BL16" i="3" s="1"/>
  <c r="BQ16" i="3"/>
  <c r="BR16" i="3" s="1"/>
  <c r="BI17" i="3"/>
  <c r="BJ17" i="3" s="1"/>
  <c r="BW16" i="3"/>
  <c r="BX16" i="3" s="1"/>
  <c r="BC17" i="3"/>
  <c r="BD17" i="3" s="1"/>
  <c r="BS18" i="3"/>
  <c r="BO17" i="3"/>
  <c r="BP17" i="3" s="1"/>
  <c r="AC18" i="3"/>
  <c r="AS19" i="3"/>
  <c r="AE19" i="3"/>
  <c r="AC19" i="3" s="1"/>
  <c r="AN19" i="3"/>
  <c r="AP19" i="3"/>
  <c r="AR19" i="3"/>
  <c r="X19" i="3"/>
  <c r="AT19" i="3"/>
  <c r="Y19" i="3"/>
  <c r="AU19" i="3"/>
  <c r="Z19" i="3"/>
  <c r="AF19" i="3"/>
  <c r="S19" i="3"/>
  <c r="V19" i="3"/>
  <c r="Q19" i="3"/>
  <c r="AX19" i="3"/>
  <c r="P19" i="3"/>
  <c r="AA19" i="3"/>
  <c r="U19" i="3"/>
  <c r="AV19" i="3"/>
  <c r="O19" i="3"/>
  <c r="R19" i="3"/>
  <c r="T19" i="3"/>
  <c r="D19" i="3"/>
  <c r="BG18" i="3"/>
  <c r="AL19" i="3"/>
  <c r="AB19" i="3"/>
  <c r="W19" i="3"/>
  <c r="AO19" i="3"/>
  <c r="AG19" i="3"/>
  <c r="AQ19" i="3"/>
  <c r="AD19" i="3"/>
  <c r="B19" i="3"/>
  <c r="A20" i="3"/>
  <c r="Q20" i="12" s="1"/>
  <c r="H19" i="3"/>
  <c r="K19" i="3"/>
  <c r="J19" i="3"/>
  <c r="M19" i="3"/>
  <c r="N19" i="3"/>
  <c r="L19" i="3"/>
  <c r="I19" i="3"/>
  <c r="G19" i="3" s="1"/>
  <c r="C19" i="3"/>
  <c r="F19" i="3"/>
  <c r="E19" i="3"/>
  <c r="BZ19" i="3" l="1"/>
  <c r="BH19" i="3"/>
  <c r="BN19" i="3"/>
  <c r="BB19" i="3"/>
  <c r="BA19" i="3"/>
  <c r="BT19" i="3"/>
  <c r="AW20" i="3"/>
  <c r="AM20" i="3" s="1"/>
  <c r="AH19" i="3"/>
  <c r="AI19" i="3" s="1"/>
  <c r="CG17" i="3"/>
  <c r="BY19" i="3"/>
  <c r="BY18" i="3"/>
  <c r="CE18" i="3"/>
  <c r="CG18" i="3" s="1"/>
  <c r="AY19" i="3"/>
  <c r="BM19" i="3"/>
  <c r="AK20" i="3"/>
  <c r="BV17" i="3"/>
  <c r="BC18" i="3"/>
  <c r="BE18" i="3" s="1"/>
  <c r="BF18" i="3" s="1"/>
  <c r="BI18" i="3"/>
  <c r="BJ18" i="3" s="1"/>
  <c r="BE17" i="3"/>
  <c r="BF17" i="3" s="1"/>
  <c r="BK17" i="3"/>
  <c r="BL17" i="3" s="1"/>
  <c r="BQ17" i="3"/>
  <c r="BR17" i="3" s="1"/>
  <c r="BU18" i="3"/>
  <c r="BV18" i="3" s="1"/>
  <c r="BO18" i="3"/>
  <c r="BP18" i="3" s="1"/>
  <c r="BG19" i="3"/>
  <c r="AS20" i="3"/>
  <c r="AV20" i="3"/>
  <c r="AA20" i="3"/>
  <c r="AN20" i="3"/>
  <c r="AP20" i="3"/>
  <c r="AR20" i="3"/>
  <c r="X20" i="3"/>
  <c r="AT20" i="3"/>
  <c r="Y20" i="3"/>
  <c r="Z20" i="3"/>
  <c r="R20" i="3"/>
  <c r="AF20" i="3"/>
  <c r="U20" i="3"/>
  <c r="AE20" i="3"/>
  <c r="AU20" i="3"/>
  <c r="AX20" i="3"/>
  <c r="V20" i="3"/>
  <c r="Q20" i="3"/>
  <c r="T20" i="3"/>
  <c r="P20" i="3"/>
  <c r="S20" i="3"/>
  <c r="O20" i="3"/>
  <c r="D20" i="3"/>
  <c r="BS19" i="3"/>
  <c r="W20" i="3"/>
  <c r="AL20" i="3"/>
  <c r="AB20" i="3"/>
  <c r="AO20" i="3"/>
  <c r="AG20" i="3"/>
  <c r="AQ20" i="3"/>
  <c r="AD20" i="3"/>
  <c r="B20" i="3"/>
  <c r="A21" i="3"/>
  <c r="Q21" i="12" s="1"/>
  <c r="M20" i="3"/>
  <c r="H20" i="3"/>
  <c r="K20" i="3"/>
  <c r="J20" i="3"/>
  <c r="F20" i="3"/>
  <c r="E20" i="3"/>
  <c r="N20" i="3"/>
  <c r="L20" i="3"/>
  <c r="I20" i="3"/>
  <c r="G20" i="3" s="1"/>
  <c r="C20" i="3"/>
  <c r="BB20" i="3" l="1"/>
  <c r="BZ20" i="3"/>
  <c r="BH20" i="3"/>
  <c r="BN20" i="3"/>
  <c r="BA20" i="3"/>
  <c r="BT20" i="3"/>
  <c r="AW21" i="3"/>
  <c r="AM21" i="3" s="1"/>
  <c r="AH20" i="3"/>
  <c r="AI20" i="3" s="1"/>
  <c r="CF18" i="3"/>
  <c r="AY20" i="3"/>
  <c r="CE19" i="3"/>
  <c r="CF19" i="3" s="1"/>
  <c r="AK21" i="3"/>
  <c r="BM20" i="3"/>
  <c r="BI19" i="3"/>
  <c r="BJ19" i="3" s="1"/>
  <c r="BK18" i="3"/>
  <c r="BL18" i="3" s="1"/>
  <c r="BD18" i="3"/>
  <c r="BW18" i="3"/>
  <c r="BX18" i="3" s="1"/>
  <c r="BQ18" i="3"/>
  <c r="BR18" i="3" s="1"/>
  <c r="BG20" i="3"/>
  <c r="AC20" i="3"/>
  <c r="BU19" i="3"/>
  <c r="BV19" i="3" s="1"/>
  <c r="BS20" i="3"/>
  <c r="BO19" i="3"/>
  <c r="BP19" i="3" s="1"/>
  <c r="BC19" i="3"/>
  <c r="BD19" i="3" s="1"/>
  <c r="AS21" i="3"/>
  <c r="AU21" i="3"/>
  <c r="Z21" i="3"/>
  <c r="AV21" i="3"/>
  <c r="AF21" i="3"/>
  <c r="AN21" i="3"/>
  <c r="AP21" i="3"/>
  <c r="AR21" i="3"/>
  <c r="X21" i="3"/>
  <c r="Q21" i="3"/>
  <c r="AA21" i="3"/>
  <c r="T21" i="3"/>
  <c r="AE21" i="3"/>
  <c r="R21" i="3"/>
  <c r="V21" i="3"/>
  <c r="AT21" i="3"/>
  <c r="O21" i="3"/>
  <c r="U21" i="3"/>
  <c r="P21" i="3"/>
  <c r="Y21" i="3"/>
  <c r="S21" i="3"/>
  <c r="AX21" i="3"/>
  <c r="D21" i="3"/>
  <c r="W21" i="3"/>
  <c r="AL21" i="3"/>
  <c r="AB21" i="3"/>
  <c r="AO21" i="3"/>
  <c r="AG21" i="3"/>
  <c r="AD21" i="3"/>
  <c r="AQ21" i="3"/>
  <c r="B21" i="3"/>
  <c r="A22" i="3"/>
  <c r="Q22" i="12" s="1"/>
  <c r="M21" i="3"/>
  <c r="H21" i="3"/>
  <c r="K21" i="3"/>
  <c r="J21" i="3"/>
  <c r="F21" i="3"/>
  <c r="E21" i="3"/>
  <c r="N21" i="3"/>
  <c r="L21" i="3"/>
  <c r="I21" i="3"/>
  <c r="G21" i="3" s="1"/>
  <c r="C21" i="3"/>
  <c r="BA21" i="3" l="1"/>
  <c r="BT21" i="3"/>
  <c r="BZ21" i="3"/>
  <c r="BB21" i="3"/>
  <c r="BN21" i="3"/>
  <c r="BH21" i="3"/>
  <c r="AW22" i="3"/>
  <c r="AM22" i="3" s="1"/>
  <c r="AH21" i="3"/>
  <c r="AI21" i="3" s="1"/>
  <c r="CG19" i="3"/>
  <c r="AY21" i="3"/>
  <c r="BY20" i="3"/>
  <c r="CE20" i="3"/>
  <c r="CF20" i="3" s="1"/>
  <c r="BM21" i="3"/>
  <c r="AK22" i="3"/>
  <c r="BK19" i="3"/>
  <c r="BL19" i="3" s="1"/>
  <c r="BW19" i="3"/>
  <c r="BX19" i="3" s="1"/>
  <c r="BI20" i="3"/>
  <c r="BJ20" i="3" s="1"/>
  <c r="BC20" i="3"/>
  <c r="BD20" i="3" s="1"/>
  <c r="BU20" i="3"/>
  <c r="BW20" i="3" s="1"/>
  <c r="BX20" i="3" s="1"/>
  <c r="BQ19" i="3"/>
  <c r="BR19" i="3" s="1"/>
  <c r="BE19" i="3"/>
  <c r="BF19" i="3" s="1"/>
  <c r="BO20" i="3"/>
  <c r="BP20" i="3" s="1"/>
  <c r="BS21" i="3"/>
  <c r="BG21" i="3"/>
  <c r="AC21" i="3"/>
  <c r="AS22" i="3"/>
  <c r="AT22" i="3"/>
  <c r="Y22" i="3"/>
  <c r="AU22" i="3"/>
  <c r="AV22" i="3"/>
  <c r="AE22" i="3"/>
  <c r="AC22" i="3" s="1"/>
  <c r="AF22" i="3"/>
  <c r="AN22" i="3"/>
  <c r="AP22" i="3"/>
  <c r="P22" i="3"/>
  <c r="Z22" i="3"/>
  <c r="S22" i="3"/>
  <c r="AR22" i="3"/>
  <c r="R22" i="3"/>
  <c r="AA22" i="3"/>
  <c r="X22" i="3"/>
  <c r="U22" i="3"/>
  <c r="V22" i="3"/>
  <c r="T22" i="3"/>
  <c r="Q22" i="3"/>
  <c r="O22" i="3"/>
  <c r="AX22" i="3"/>
  <c r="D22" i="3"/>
  <c r="AD22" i="3"/>
  <c r="W22" i="3"/>
  <c r="AL22" i="3"/>
  <c r="AB22" i="3"/>
  <c r="AO22" i="3"/>
  <c r="AG22" i="3"/>
  <c r="AQ22" i="3"/>
  <c r="B22" i="3"/>
  <c r="A23" i="3"/>
  <c r="Q23" i="12" s="1"/>
  <c r="K22" i="3"/>
  <c r="J22" i="3"/>
  <c r="M22" i="3"/>
  <c r="H22" i="3"/>
  <c r="C22" i="3"/>
  <c r="F22" i="3"/>
  <c r="E22" i="3"/>
  <c r="N22" i="3"/>
  <c r="L22" i="3"/>
  <c r="I22" i="3"/>
  <c r="G22" i="3" s="1"/>
  <c r="BZ22" i="3" l="1"/>
  <c r="BB22" i="3"/>
  <c r="BT22" i="3"/>
  <c r="BH22" i="3"/>
  <c r="BN22" i="3"/>
  <c r="BA22" i="3"/>
  <c r="AW23" i="3"/>
  <c r="BZ23" i="3" s="1"/>
  <c r="AH22" i="3"/>
  <c r="AI22" i="3" s="1"/>
  <c r="CG20" i="3"/>
  <c r="BY22" i="3"/>
  <c r="BY21" i="3"/>
  <c r="AY22" i="3"/>
  <c r="CE21" i="3"/>
  <c r="CF21" i="3" s="1"/>
  <c r="AK23" i="3"/>
  <c r="BM22" i="3"/>
  <c r="BK20" i="3"/>
  <c r="BL20" i="3" s="1"/>
  <c r="BV20" i="3"/>
  <c r="BE20" i="3"/>
  <c r="BF20" i="3" s="1"/>
  <c r="BQ20" i="3"/>
  <c r="BR20" i="3" s="1"/>
  <c r="BC21" i="3"/>
  <c r="BD21" i="3" s="1"/>
  <c r="BU21" i="3"/>
  <c r="BV21" i="3" s="1"/>
  <c r="BI21" i="3"/>
  <c r="BJ21" i="3" s="1"/>
  <c r="BO21" i="3"/>
  <c r="BP21" i="3" s="1"/>
  <c r="BS22" i="3"/>
  <c r="BG22" i="3"/>
  <c r="AS23" i="3"/>
  <c r="AR23" i="3"/>
  <c r="X23" i="3"/>
  <c r="AT23" i="3"/>
  <c r="AU23" i="3"/>
  <c r="AV23" i="3"/>
  <c r="AA23" i="3"/>
  <c r="AE23" i="3"/>
  <c r="AF23" i="3"/>
  <c r="AN23" i="3"/>
  <c r="O23" i="3"/>
  <c r="R23" i="3"/>
  <c r="AP23" i="3"/>
  <c r="Y23" i="3"/>
  <c r="S23" i="3"/>
  <c r="Z23" i="3"/>
  <c r="V23" i="3"/>
  <c r="P23" i="3"/>
  <c r="AX23" i="3"/>
  <c r="U23" i="3"/>
  <c r="T23" i="3"/>
  <c r="Q23" i="3"/>
  <c r="D23" i="3"/>
  <c r="AQ23" i="3"/>
  <c r="AG23" i="3"/>
  <c r="AD23" i="3"/>
  <c r="W23" i="3"/>
  <c r="AL23" i="3"/>
  <c r="AB23" i="3"/>
  <c r="AO23" i="3"/>
  <c r="B23" i="3"/>
  <c r="A24" i="3"/>
  <c r="Q24" i="12" s="1"/>
  <c r="K23" i="3"/>
  <c r="J23" i="3"/>
  <c r="M23" i="3"/>
  <c r="H23" i="3"/>
  <c r="F23" i="3"/>
  <c r="E23" i="3"/>
  <c r="N23" i="3"/>
  <c r="L23" i="3"/>
  <c r="I23" i="3"/>
  <c r="G23" i="3" s="1"/>
  <c r="C23" i="3"/>
  <c r="BA23" i="3" l="1"/>
  <c r="AM23" i="3"/>
  <c r="BT23" i="3"/>
  <c r="BN23" i="3"/>
  <c r="BB23" i="3"/>
  <c r="BH23" i="3"/>
  <c r="AW24" i="3"/>
  <c r="AM24" i="3" s="1"/>
  <c r="AH23" i="3"/>
  <c r="AI23" i="3" s="1"/>
  <c r="CG21" i="3"/>
  <c r="AY23" i="3"/>
  <c r="CE22" i="3"/>
  <c r="CF22" i="3" s="1"/>
  <c r="BM23" i="3"/>
  <c r="AK24" i="3"/>
  <c r="BW21" i="3"/>
  <c r="BX21" i="3" s="1"/>
  <c r="BE21" i="3"/>
  <c r="BF21" i="3" s="1"/>
  <c r="BU22" i="3"/>
  <c r="BV22" i="3" s="1"/>
  <c r="BK21" i="3"/>
  <c r="BL21" i="3" s="1"/>
  <c r="BQ21" i="3"/>
  <c r="BR21" i="3" s="1"/>
  <c r="BC22" i="3"/>
  <c r="BD22" i="3" s="1"/>
  <c r="BI22" i="3"/>
  <c r="BJ22" i="3" s="1"/>
  <c r="BO22" i="3"/>
  <c r="BP22" i="3" s="1"/>
  <c r="AC23" i="3"/>
  <c r="BG23" i="3"/>
  <c r="BS23" i="3"/>
  <c r="AS24" i="3"/>
  <c r="AP24" i="3"/>
  <c r="AR24" i="3"/>
  <c r="AT24" i="3"/>
  <c r="AU24" i="3"/>
  <c r="Z24" i="3"/>
  <c r="AV24" i="3"/>
  <c r="AA24" i="3"/>
  <c r="AE24" i="3"/>
  <c r="AC24" i="3" s="1"/>
  <c r="AF24" i="3"/>
  <c r="Y24" i="3"/>
  <c r="V24" i="3"/>
  <c r="Q24" i="3"/>
  <c r="U24" i="3"/>
  <c r="S24" i="3"/>
  <c r="AN24" i="3"/>
  <c r="X24" i="3"/>
  <c r="T24" i="3"/>
  <c r="P24" i="3"/>
  <c r="AX24" i="3"/>
  <c r="O24" i="3"/>
  <c r="R24" i="3"/>
  <c r="D24" i="3"/>
  <c r="AG24" i="3"/>
  <c r="AQ24" i="3"/>
  <c r="AD24" i="3"/>
  <c r="AO24" i="3"/>
  <c r="W24" i="3"/>
  <c r="AL24" i="3"/>
  <c r="AB24" i="3"/>
  <c r="B24" i="3"/>
  <c r="A25" i="3"/>
  <c r="Q25" i="12" s="1"/>
  <c r="H24" i="3"/>
  <c r="K24" i="3"/>
  <c r="J24" i="3"/>
  <c r="M24" i="3"/>
  <c r="C24" i="3"/>
  <c r="F24" i="3"/>
  <c r="E24" i="3"/>
  <c r="N24" i="3"/>
  <c r="L24" i="3"/>
  <c r="I24" i="3"/>
  <c r="G24" i="3" s="1"/>
  <c r="BA24" i="3" l="1"/>
  <c r="BZ24" i="3"/>
  <c r="BT24" i="3"/>
  <c r="BB24" i="3"/>
  <c r="BH24" i="3"/>
  <c r="BN24" i="3"/>
  <c r="AW25" i="3"/>
  <c r="BZ25" i="3" s="1"/>
  <c r="AH24" i="3"/>
  <c r="AI24" i="3" s="1"/>
  <c r="CG22" i="3"/>
  <c r="BY24" i="3"/>
  <c r="BY23" i="3"/>
  <c r="AY24" i="3"/>
  <c r="CE23" i="3"/>
  <c r="CF23" i="3" s="1"/>
  <c r="BM24" i="3"/>
  <c r="AK25" i="3"/>
  <c r="BW22" i="3"/>
  <c r="BX22" i="3" s="1"/>
  <c r="BE22" i="3"/>
  <c r="BF22" i="3" s="1"/>
  <c r="BQ22" i="3"/>
  <c r="BR22" i="3" s="1"/>
  <c r="BC23" i="3"/>
  <c r="BD23" i="3" s="1"/>
  <c r="BK22" i="3"/>
  <c r="BL22" i="3" s="1"/>
  <c r="BS24" i="3"/>
  <c r="BI23" i="3"/>
  <c r="BJ23" i="3" s="1"/>
  <c r="BG24" i="3"/>
  <c r="BU23" i="3"/>
  <c r="BW23" i="3" s="1"/>
  <c r="BX23" i="3" s="1"/>
  <c r="BO23" i="3"/>
  <c r="BP23" i="3" s="1"/>
  <c r="AS25" i="3"/>
  <c r="AN25" i="3"/>
  <c r="AP25" i="3"/>
  <c r="AR25" i="3"/>
  <c r="AT25" i="3"/>
  <c r="Y25" i="3"/>
  <c r="AU25" i="3"/>
  <c r="Z25" i="3"/>
  <c r="AV25" i="3"/>
  <c r="AA25" i="3"/>
  <c r="AE25" i="3"/>
  <c r="U25" i="3"/>
  <c r="P25" i="3"/>
  <c r="X25" i="3"/>
  <c r="T25" i="3"/>
  <c r="AF25" i="3"/>
  <c r="Q25" i="3"/>
  <c r="R25" i="3"/>
  <c r="V25" i="3"/>
  <c r="AX25" i="3"/>
  <c r="S25" i="3"/>
  <c r="O25" i="3"/>
  <c r="D25" i="3"/>
  <c r="AO25" i="3"/>
  <c r="AG25" i="3"/>
  <c r="AQ25" i="3"/>
  <c r="AD25" i="3"/>
  <c r="AB25" i="3"/>
  <c r="W25" i="3"/>
  <c r="AL25" i="3"/>
  <c r="B25" i="3"/>
  <c r="A26" i="3"/>
  <c r="Q26" i="12" s="1"/>
  <c r="H25" i="3"/>
  <c r="K25" i="3"/>
  <c r="J25" i="3"/>
  <c r="M25" i="3"/>
  <c r="N25" i="3"/>
  <c r="L25" i="3"/>
  <c r="I25" i="3"/>
  <c r="G25" i="3" s="1"/>
  <c r="F25" i="3"/>
  <c r="E25" i="3"/>
  <c r="C25" i="3"/>
  <c r="BN25" i="3" l="1"/>
  <c r="AM25" i="3"/>
  <c r="BT25" i="3"/>
  <c r="BB25" i="3"/>
  <c r="BH25" i="3"/>
  <c r="BA25" i="3"/>
  <c r="AW26" i="3"/>
  <c r="BZ26" i="3" s="1"/>
  <c r="AH25" i="3"/>
  <c r="AI25" i="3" s="1"/>
  <c r="CG23" i="3"/>
  <c r="AY25" i="3"/>
  <c r="CE24" i="3"/>
  <c r="CF24" i="3" s="1"/>
  <c r="AC25" i="3"/>
  <c r="BM25" i="3"/>
  <c r="AK26" i="3"/>
  <c r="BE23" i="3"/>
  <c r="BF23" i="3" s="1"/>
  <c r="BK23" i="3"/>
  <c r="BL23" i="3" s="1"/>
  <c r="BU24" i="3"/>
  <c r="BW24" i="3" s="1"/>
  <c r="BX24" i="3" s="1"/>
  <c r="BC24" i="3"/>
  <c r="BD24" i="3" s="1"/>
  <c r="BV23" i="3"/>
  <c r="BO24" i="3"/>
  <c r="BP24" i="3" s="1"/>
  <c r="BS25" i="3"/>
  <c r="BG25" i="3"/>
  <c r="BI24" i="3"/>
  <c r="BJ24" i="3" s="1"/>
  <c r="BQ23" i="3"/>
  <c r="BR23" i="3" s="1"/>
  <c r="AS26" i="3"/>
  <c r="AF26" i="3"/>
  <c r="AN26" i="3"/>
  <c r="AP26" i="3"/>
  <c r="AR26" i="3"/>
  <c r="X26" i="3"/>
  <c r="AT26" i="3"/>
  <c r="Y26" i="3"/>
  <c r="AU26" i="3"/>
  <c r="Z26" i="3"/>
  <c r="AV26" i="3"/>
  <c r="AA26" i="3"/>
  <c r="AE26" i="3"/>
  <c r="AC26" i="3" s="1"/>
  <c r="T26" i="3"/>
  <c r="O26" i="3"/>
  <c r="V26" i="3"/>
  <c r="R26" i="3"/>
  <c r="U26" i="3"/>
  <c r="AX26" i="3"/>
  <c r="Q26" i="3"/>
  <c r="P26" i="3"/>
  <c r="S26" i="3"/>
  <c r="D26" i="3"/>
  <c r="AB26" i="3"/>
  <c r="AO26" i="3"/>
  <c r="AG26" i="3"/>
  <c r="AQ26" i="3"/>
  <c r="AL26" i="3"/>
  <c r="AD26" i="3"/>
  <c r="W26" i="3"/>
  <c r="B26" i="3"/>
  <c r="A27" i="3"/>
  <c r="Q27" i="12" s="1"/>
  <c r="H26" i="3"/>
  <c r="K26" i="3"/>
  <c r="J26" i="3"/>
  <c r="M26" i="3"/>
  <c r="N26" i="3"/>
  <c r="L26" i="3"/>
  <c r="I26" i="3"/>
  <c r="G26" i="3" s="1"/>
  <c r="C26" i="3"/>
  <c r="F26" i="3"/>
  <c r="E26" i="3"/>
  <c r="AM26" i="3" l="1"/>
  <c r="BA26" i="3"/>
  <c r="BT26" i="3"/>
  <c r="BN26" i="3"/>
  <c r="BB26" i="3"/>
  <c r="BH26" i="3"/>
  <c r="AW27" i="3"/>
  <c r="AM27" i="3" s="1"/>
  <c r="AH26" i="3"/>
  <c r="AI26" i="3" s="1"/>
  <c r="CG24" i="3"/>
  <c r="BY26" i="3"/>
  <c r="AY26" i="3"/>
  <c r="BY25" i="3"/>
  <c r="CE25" i="3"/>
  <c r="CF25" i="3" s="1"/>
  <c r="BC25" i="3"/>
  <c r="BE25" i="3" s="1"/>
  <c r="BF25" i="3" s="1"/>
  <c r="BO25" i="3"/>
  <c r="BP25" i="3" s="1"/>
  <c r="BM26" i="3"/>
  <c r="AK27" i="3"/>
  <c r="BV24" i="3"/>
  <c r="BE24" i="3"/>
  <c r="BF24" i="3" s="1"/>
  <c r="BQ24" i="3"/>
  <c r="BR24" i="3" s="1"/>
  <c r="BU25" i="3"/>
  <c r="BW25" i="3" s="1"/>
  <c r="BX25" i="3" s="1"/>
  <c r="BG26" i="3"/>
  <c r="BI25" i="3"/>
  <c r="BJ25" i="3" s="1"/>
  <c r="BS26" i="3"/>
  <c r="BK24" i="3"/>
  <c r="BL24" i="3" s="1"/>
  <c r="AS27" i="3"/>
  <c r="AE27" i="3"/>
  <c r="AN27" i="3"/>
  <c r="AP27" i="3"/>
  <c r="AR27" i="3"/>
  <c r="X27" i="3"/>
  <c r="AT27" i="3"/>
  <c r="Y27" i="3"/>
  <c r="AU27" i="3"/>
  <c r="Z27" i="3"/>
  <c r="AV27" i="3"/>
  <c r="S27" i="3"/>
  <c r="AF27" i="3"/>
  <c r="V27" i="3"/>
  <c r="U27" i="3"/>
  <c r="O27" i="3"/>
  <c r="AX27" i="3"/>
  <c r="T27" i="3"/>
  <c r="AA27" i="3"/>
  <c r="R27" i="3"/>
  <c r="Q27" i="3"/>
  <c r="P27" i="3"/>
  <c r="D27" i="3"/>
  <c r="AL27" i="3"/>
  <c r="AB27" i="3"/>
  <c r="AO27" i="3"/>
  <c r="AG27" i="3"/>
  <c r="AQ27" i="3"/>
  <c r="W27" i="3"/>
  <c r="AD27" i="3"/>
  <c r="B27" i="3"/>
  <c r="A28" i="3"/>
  <c r="Q28" i="12" s="1"/>
  <c r="H27" i="3"/>
  <c r="K27" i="3"/>
  <c r="J27" i="3"/>
  <c r="M27" i="3"/>
  <c r="N27" i="3"/>
  <c r="L27" i="3"/>
  <c r="I27" i="3"/>
  <c r="G27" i="3" s="1"/>
  <c r="F27" i="3"/>
  <c r="E27" i="3"/>
  <c r="C27" i="3"/>
  <c r="BA27" i="3" l="1"/>
  <c r="BT27" i="3"/>
  <c r="BZ27" i="3"/>
  <c r="BH27" i="3"/>
  <c r="BN27" i="3"/>
  <c r="BB27" i="3"/>
  <c r="AW28" i="3"/>
  <c r="AM28" i="3" s="1"/>
  <c r="AH27" i="3"/>
  <c r="AI27" i="3" s="1"/>
  <c r="BD25" i="3"/>
  <c r="CG25" i="3"/>
  <c r="AY27" i="3"/>
  <c r="CE26" i="3"/>
  <c r="CF26" i="3" s="1"/>
  <c r="BQ25" i="3"/>
  <c r="BR25" i="3" s="1"/>
  <c r="BM27" i="3"/>
  <c r="AK28" i="3"/>
  <c r="BV25" i="3"/>
  <c r="BK25" i="3"/>
  <c r="BL25" i="3" s="1"/>
  <c r="BO26" i="3"/>
  <c r="BP26" i="3" s="1"/>
  <c r="BI26" i="3"/>
  <c r="BJ26" i="3" s="1"/>
  <c r="BU26" i="3"/>
  <c r="BW26" i="3" s="1"/>
  <c r="BX26" i="3" s="1"/>
  <c r="BC26" i="3"/>
  <c r="BD26" i="3" s="1"/>
  <c r="BS27" i="3"/>
  <c r="BG27" i="3"/>
  <c r="AC27" i="3"/>
  <c r="AS28" i="3"/>
  <c r="AV28" i="3"/>
  <c r="AA28" i="3"/>
  <c r="AN28" i="3"/>
  <c r="AP28" i="3"/>
  <c r="AR28" i="3"/>
  <c r="X28" i="3"/>
  <c r="AT28" i="3"/>
  <c r="Y28" i="3"/>
  <c r="AU28" i="3"/>
  <c r="R28" i="3"/>
  <c r="AE28" i="3"/>
  <c r="AC28" i="3" s="1"/>
  <c r="Z28" i="3"/>
  <c r="U28" i="3"/>
  <c r="P28" i="3"/>
  <c r="O28" i="3"/>
  <c r="AX28" i="3"/>
  <c r="AF28" i="3"/>
  <c r="S28" i="3"/>
  <c r="V28" i="3"/>
  <c r="T28" i="3"/>
  <c r="Q28" i="3"/>
  <c r="D28" i="3"/>
  <c r="W28" i="3"/>
  <c r="AL28" i="3"/>
  <c r="AB28" i="3"/>
  <c r="AO28" i="3"/>
  <c r="AG28" i="3"/>
  <c r="AQ28" i="3"/>
  <c r="AD28" i="3"/>
  <c r="B28" i="3"/>
  <c r="A29" i="3"/>
  <c r="Q29" i="12" s="1"/>
  <c r="M28" i="3"/>
  <c r="H28" i="3"/>
  <c r="K28" i="3"/>
  <c r="J28" i="3"/>
  <c r="F28" i="3"/>
  <c r="E28" i="3"/>
  <c r="N28" i="3"/>
  <c r="L28" i="3"/>
  <c r="I28" i="3"/>
  <c r="G28" i="3" s="1"/>
  <c r="C28" i="3"/>
  <c r="BZ28" i="3" l="1"/>
  <c r="BB28" i="3"/>
  <c r="BH28" i="3"/>
  <c r="BN28" i="3"/>
  <c r="BA28" i="3"/>
  <c r="BT28" i="3"/>
  <c r="AW29" i="3"/>
  <c r="AM29" i="3" s="1"/>
  <c r="AH28" i="3"/>
  <c r="AI28" i="3" s="1"/>
  <c r="BY28" i="3"/>
  <c r="AY28" i="3"/>
  <c r="BY27" i="3"/>
  <c r="CG26" i="3"/>
  <c r="CE27" i="3"/>
  <c r="CF27" i="3" s="1"/>
  <c r="AK29" i="3"/>
  <c r="BM28" i="3"/>
  <c r="BV26" i="3"/>
  <c r="BK26" i="3"/>
  <c r="BL26" i="3" s="1"/>
  <c r="BQ26" i="3"/>
  <c r="BR26" i="3" s="1"/>
  <c r="BU27" i="3"/>
  <c r="BV27" i="3" s="1"/>
  <c r="BE26" i="3"/>
  <c r="BF26" i="3" s="1"/>
  <c r="BI27" i="3"/>
  <c r="BJ27" i="3" s="1"/>
  <c r="BO27" i="3"/>
  <c r="BP27" i="3" s="1"/>
  <c r="BC27" i="3"/>
  <c r="BD27" i="3" s="1"/>
  <c r="BS28" i="3"/>
  <c r="BG28" i="3"/>
  <c r="AS29" i="3"/>
  <c r="AU29" i="3"/>
  <c r="Z29" i="3"/>
  <c r="AV29" i="3"/>
  <c r="AF29" i="3"/>
  <c r="AN29" i="3"/>
  <c r="AP29" i="3"/>
  <c r="AR29" i="3"/>
  <c r="X29" i="3"/>
  <c r="AT29" i="3"/>
  <c r="Q29" i="3"/>
  <c r="Y29" i="3"/>
  <c r="T29" i="3"/>
  <c r="AE29" i="3"/>
  <c r="V29" i="3"/>
  <c r="U29" i="3"/>
  <c r="P29" i="3"/>
  <c r="S29" i="3"/>
  <c r="R29" i="3"/>
  <c r="AA29" i="3"/>
  <c r="AX29" i="3"/>
  <c r="O29" i="3"/>
  <c r="D29" i="3"/>
  <c r="W29" i="3"/>
  <c r="AL29" i="3"/>
  <c r="AB29" i="3"/>
  <c r="AO29" i="3"/>
  <c r="AD29" i="3"/>
  <c r="AG29" i="3"/>
  <c r="AQ29" i="3"/>
  <c r="B29" i="3"/>
  <c r="A30" i="3"/>
  <c r="Q30" i="12" s="1"/>
  <c r="M29" i="3"/>
  <c r="H29" i="3"/>
  <c r="K29" i="3"/>
  <c r="F29" i="3"/>
  <c r="E29" i="3"/>
  <c r="J29" i="3"/>
  <c r="N29" i="3"/>
  <c r="L29" i="3"/>
  <c r="I29" i="3"/>
  <c r="G29" i="3" s="1"/>
  <c r="C29" i="3"/>
  <c r="BA29" i="3" l="1"/>
  <c r="BN29" i="3"/>
  <c r="BB29" i="3"/>
  <c r="BH29" i="3"/>
  <c r="BT29" i="3"/>
  <c r="BZ29" i="3"/>
  <c r="AW30" i="3"/>
  <c r="AM30" i="3" s="1"/>
  <c r="AH29" i="3"/>
  <c r="AI29" i="3" s="1"/>
  <c r="CG27" i="3"/>
  <c r="AY29" i="3"/>
  <c r="CE28" i="3"/>
  <c r="CF28" i="3" s="1"/>
  <c r="AK30" i="3"/>
  <c r="BM29" i="3"/>
  <c r="BW27" i="3"/>
  <c r="BX27" i="3" s="1"/>
  <c r="BE27" i="3"/>
  <c r="BF27" i="3" s="1"/>
  <c r="BQ27" i="3"/>
  <c r="BR27" i="3" s="1"/>
  <c r="BK27" i="3"/>
  <c r="BL27" i="3" s="1"/>
  <c r="BS29" i="3"/>
  <c r="BU28" i="3"/>
  <c r="BV28" i="3" s="1"/>
  <c r="BO28" i="3"/>
  <c r="BP28" i="3" s="1"/>
  <c r="BC28" i="3"/>
  <c r="BD28" i="3" s="1"/>
  <c r="BI28" i="3"/>
  <c r="BJ28" i="3" s="1"/>
  <c r="AC29" i="3"/>
  <c r="BG29" i="3"/>
  <c r="AS30" i="3"/>
  <c r="AT30" i="3"/>
  <c r="Y30" i="3"/>
  <c r="AU30" i="3"/>
  <c r="AV30" i="3"/>
  <c r="AE30" i="3"/>
  <c r="AF30" i="3"/>
  <c r="AN30" i="3"/>
  <c r="AP30" i="3"/>
  <c r="AR30" i="3"/>
  <c r="P30" i="3"/>
  <c r="S30" i="3"/>
  <c r="AA30" i="3"/>
  <c r="Q30" i="3"/>
  <c r="V30" i="3"/>
  <c r="Z30" i="3"/>
  <c r="X30" i="3"/>
  <c r="U30" i="3"/>
  <c r="R30" i="3"/>
  <c r="AX30" i="3"/>
  <c r="T30" i="3"/>
  <c r="O30" i="3"/>
  <c r="D30" i="3"/>
  <c r="AD30" i="3"/>
  <c r="W30" i="3"/>
  <c r="AL30" i="3"/>
  <c r="AB30" i="3"/>
  <c r="AQ30" i="3"/>
  <c r="AO30" i="3"/>
  <c r="AG30" i="3"/>
  <c r="B30" i="3"/>
  <c r="A31" i="3"/>
  <c r="Q31" i="12" s="1"/>
  <c r="K30" i="3"/>
  <c r="J30" i="3"/>
  <c r="M30" i="3"/>
  <c r="H30" i="3"/>
  <c r="C30" i="3"/>
  <c r="F30" i="3"/>
  <c r="E30" i="3"/>
  <c r="N30" i="3"/>
  <c r="L30" i="3"/>
  <c r="I30" i="3"/>
  <c r="G30" i="3" s="1"/>
  <c r="BA30" i="3" l="1"/>
  <c r="BB30" i="3"/>
  <c r="BH30" i="3"/>
  <c r="BZ30" i="3"/>
  <c r="BN30" i="3"/>
  <c r="BT30" i="3"/>
  <c r="AW31" i="3"/>
  <c r="AM31" i="3" s="1"/>
  <c r="CG28" i="3"/>
  <c r="AH30" i="3"/>
  <c r="AI30" i="3" s="1"/>
  <c r="AY30" i="3"/>
  <c r="BY29" i="3"/>
  <c r="CE29" i="3"/>
  <c r="CF29" i="3" s="1"/>
  <c r="BM30" i="3"/>
  <c r="AK31" i="3"/>
  <c r="BU29" i="3"/>
  <c r="BV29" i="3" s="1"/>
  <c r="BE28" i="3"/>
  <c r="BF28" i="3" s="1"/>
  <c r="BW28" i="3"/>
  <c r="BX28" i="3" s="1"/>
  <c r="BK28" i="3"/>
  <c r="BL28" i="3" s="1"/>
  <c r="BQ28" i="3"/>
  <c r="BR28" i="3" s="1"/>
  <c r="BC29" i="3"/>
  <c r="BD29" i="3" s="1"/>
  <c r="BI29" i="3"/>
  <c r="BJ29" i="3" s="1"/>
  <c r="BO29" i="3"/>
  <c r="BP29" i="3" s="1"/>
  <c r="AS31" i="3"/>
  <c r="AR31" i="3"/>
  <c r="AT31" i="3"/>
  <c r="AU31" i="3"/>
  <c r="AV31" i="3"/>
  <c r="AA31" i="3"/>
  <c r="AE31" i="3"/>
  <c r="AF31" i="3"/>
  <c r="AN31" i="3"/>
  <c r="AP31" i="3"/>
  <c r="X31" i="3"/>
  <c r="O31" i="3"/>
  <c r="R31" i="3"/>
  <c r="Y31" i="3"/>
  <c r="Q31" i="3"/>
  <c r="V31" i="3"/>
  <c r="Z31" i="3"/>
  <c r="T31" i="3"/>
  <c r="AX31" i="3"/>
  <c r="S31" i="3"/>
  <c r="U31" i="3"/>
  <c r="P31" i="3"/>
  <c r="D31" i="3"/>
  <c r="BG30" i="3"/>
  <c r="AC30" i="3"/>
  <c r="BS30" i="3"/>
  <c r="AQ31" i="3"/>
  <c r="AD31" i="3"/>
  <c r="AG31" i="3"/>
  <c r="W31" i="3"/>
  <c r="AL31" i="3"/>
  <c r="AB31" i="3"/>
  <c r="AO31" i="3"/>
  <c r="B31" i="3"/>
  <c r="A32" i="3"/>
  <c r="Q32" i="12" s="1"/>
  <c r="K31" i="3"/>
  <c r="J31" i="3"/>
  <c r="M31" i="3"/>
  <c r="H31" i="3"/>
  <c r="F31" i="3"/>
  <c r="E31" i="3"/>
  <c r="N31" i="3"/>
  <c r="L31" i="3"/>
  <c r="I31" i="3"/>
  <c r="G31" i="3" s="1"/>
  <c r="C31" i="3"/>
  <c r="BN31" i="3" l="1"/>
  <c r="BZ31" i="3"/>
  <c r="BT31" i="3"/>
  <c r="BB31" i="3"/>
  <c r="BH31" i="3"/>
  <c r="BA31" i="3"/>
  <c r="AW32" i="3"/>
  <c r="AM32" i="3" s="1"/>
  <c r="AH31" i="3"/>
  <c r="AI31" i="3" s="1"/>
  <c r="CG29" i="3"/>
  <c r="CE30" i="3"/>
  <c r="CF30" i="3" s="1"/>
  <c r="AY31" i="3"/>
  <c r="BY30" i="3"/>
  <c r="BM31" i="3"/>
  <c r="AK32" i="3"/>
  <c r="BW29" i="3"/>
  <c r="BX29" i="3" s="1"/>
  <c r="BK29" i="3"/>
  <c r="BL29" i="3" s="1"/>
  <c r="BE29" i="3"/>
  <c r="BF29" i="3" s="1"/>
  <c r="BQ29" i="3"/>
  <c r="BR29" i="3" s="1"/>
  <c r="BC30" i="3"/>
  <c r="BD30" i="3" s="1"/>
  <c r="BU30" i="3"/>
  <c r="BV30" i="3" s="1"/>
  <c r="BI30" i="3"/>
  <c r="BJ30" i="3" s="1"/>
  <c r="BO30" i="3"/>
  <c r="BP30" i="3" s="1"/>
  <c r="AC31" i="3"/>
  <c r="AS32" i="3"/>
  <c r="AP32" i="3"/>
  <c r="AR32" i="3"/>
  <c r="AT32" i="3"/>
  <c r="AU32" i="3"/>
  <c r="Z32" i="3"/>
  <c r="AV32" i="3"/>
  <c r="AA32" i="3"/>
  <c r="AE32" i="3"/>
  <c r="AF32" i="3"/>
  <c r="AN32" i="3"/>
  <c r="V32" i="3"/>
  <c r="Y32" i="3"/>
  <c r="Q32" i="3"/>
  <c r="X32" i="3"/>
  <c r="R32" i="3"/>
  <c r="U32" i="3"/>
  <c r="O32" i="3"/>
  <c r="S32" i="3"/>
  <c r="AX32" i="3"/>
  <c r="P32" i="3"/>
  <c r="T32" i="3"/>
  <c r="D32" i="3"/>
  <c r="BS31" i="3"/>
  <c r="BG31" i="3"/>
  <c r="AG32" i="3"/>
  <c r="AQ32" i="3"/>
  <c r="AD32" i="3"/>
  <c r="AO32" i="3"/>
  <c r="W32" i="3"/>
  <c r="AL32" i="3"/>
  <c r="AB32" i="3"/>
  <c r="B32" i="3"/>
  <c r="A33" i="3"/>
  <c r="Q33" i="12" s="1"/>
  <c r="H32" i="3"/>
  <c r="K32" i="3"/>
  <c r="J32" i="3"/>
  <c r="M32" i="3"/>
  <c r="C32" i="3"/>
  <c r="F32" i="3"/>
  <c r="E32" i="3"/>
  <c r="N32" i="3"/>
  <c r="L32" i="3"/>
  <c r="I32" i="3"/>
  <c r="G32" i="3" s="1"/>
  <c r="BZ32" i="3" l="1"/>
  <c r="BA32" i="3"/>
  <c r="BT32" i="3"/>
  <c r="BB32" i="3"/>
  <c r="BH32" i="3"/>
  <c r="BN32" i="3"/>
  <c r="AW33" i="3"/>
  <c r="BZ33" i="3" s="1"/>
  <c r="AH32" i="3"/>
  <c r="AI32" i="3" s="1"/>
  <c r="CG30" i="3"/>
  <c r="AY32" i="3"/>
  <c r="BY31" i="3"/>
  <c r="CE31" i="3"/>
  <c r="CF31" i="3" s="1"/>
  <c r="BM32" i="3"/>
  <c r="AK33" i="3"/>
  <c r="BO31" i="3"/>
  <c r="BP31" i="3" s="1"/>
  <c r="BE30" i="3"/>
  <c r="BF30" i="3" s="1"/>
  <c r="BQ30" i="3"/>
  <c r="BR30" i="3" s="1"/>
  <c r="BK30" i="3"/>
  <c r="BL30" i="3" s="1"/>
  <c r="BW30" i="3"/>
  <c r="BX30" i="3" s="1"/>
  <c r="BG32" i="3"/>
  <c r="BC31" i="3"/>
  <c r="BD31" i="3" s="1"/>
  <c r="BI31" i="3"/>
  <c r="BK31" i="3" s="1"/>
  <c r="BL31" i="3" s="1"/>
  <c r="BU31" i="3"/>
  <c r="BV31" i="3" s="1"/>
  <c r="AC32" i="3"/>
  <c r="BS32" i="3"/>
  <c r="AS33" i="3"/>
  <c r="AN33" i="3"/>
  <c r="AP33" i="3"/>
  <c r="AR33" i="3"/>
  <c r="AT33" i="3"/>
  <c r="Y33" i="3"/>
  <c r="AU33" i="3"/>
  <c r="Z33" i="3"/>
  <c r="AV33" i="3"/>
  <c r="AA33" i="3"/>
  <c r="AE33" i="3"/>
  <c r="AC33" i="3" s="1"/>
  <c r="U33" i="3"/>
  <c r="P33" i="3"/>
  <c r="S33" i="3"/>
  <c r="X33" i="3"/>
  <c r="R33" i="3"/>
  <c r="AF33" i="3"/>
  <c r="O33" i="3"/>
  <c r="V33" i="3"/>
  <c r="BG33" i="3" s="1"/>
  <c r="Q33" i="3"/>
  <c r="AX33" i="3"/>
  <c r="T33" i="3"/>
  <c r="D33" i="3"/>
  <c r="AO33" i="3"/>
  <c r="AG33" i="3"/>
  <c r="AB33" i="3"/>
  <c r="AQ33" i="3"/>
  <c r="AD33" i="3"/>
  <c r="W33" i="3"/>
  <c r="AL33" i="3"/>
  <c r="B33" i="3"/>
  <c r="A34" i="3"/>
  <c r="Q34" i="12" s="1"/>
  <c r="H33" i="3"/>
  <c r="K33" i="3"/>
  <c r="J33" i="3"/>
  <c r="M33" i="3"/>
  <c r="N33" i="3"/>
  <c r="L33" i="3"/>
  <c r="I33" i="3"/>
  <c r="G33" i="3" s="1"/>
  <c r="F33" i="3"/>
  <c r="E33" i="3"/>
  <c r="C33" i="3"/>
  <c r="AM33" i="3" l="1"/>
  <c r="BT33" i="3"/>
  <c r="BN33" i="3"/>
  <c r="BB33" i="3"/>
  <c r="BH33" i="3"/>
  <c r="BI33" i="3" s="1"/>
  <c r="BA33" i="3"/>
  <c r="AW34" i="3"/>
  <c r="AM34" i="3" s="1"/>
  <c r="AH33" i="3"/>
  <c r="AI33" i="3" s="1"/>
  <c r="CG31" i="3"/>
  <c r="BY33" i="3"/>
  <c r="BY32" i="3"/>
  <c r="AY33" i="3"/>
  <c r="CE32" i="3"/>
  <c r="CF32" i="3" s="1"/>
  <c r="BS33" i="3"/>
  <c r="BM33" i="3"/>
  <c r="AK34" i="3"/>
  <c r="BQ31" i="3"/>
  <c r="BR31" i="3" s="1"/>
  <c r="BW31" i="3"/>
  <c r="BX31" i="3" s="1"/>
  <c r="BJ31" i="3"/>
  <c r="BI32" i="3"/>
  <c r="BJ32" i="3" s="1"/>
  <c r="BC32" i="3"/>
  <c r="BD32" i="3" s="1"/>
  <c r="BE31" i="3"/>
  <c r="BF31" i="3" s="1"/>
  <c r="BO32" i="3"/>
  <c r="BQ32" i="3" s="1"/>
  <c r="BR32" i="3" s="1"/>
  <c r="BU32" i="3"/>
  <c r="BV32" i="3" s="1"/>
  <c r="AS34" i="3"/>
  <c r="AF34" i="3"/>
  <c r="AN34" i="3"/>
  <c r="AP34" i="3"/>
  <c r="AR34" i="3"/>
  <c r="AT34" i="3"/>
  <c r="Y34" i="3"/>
  <c r="AU34" i="3"/>
  <c r="Z34" i="3"/>
  <c r="AV34" i="3"/>
  <c r="AA34" i="3"/>
  <c r="T34" i="3"/>
  <c r="AE34" i="3"/>
  <c r="AC34" i="3" s="1"/>
  <c r="X34" i="3"/>
  <c r="O34" i="3"/>
  <c r="S34" i="3"/>
  <c r="V34" i="3"/>
  <c r="P34" i="3"/>
  <c r="R34" i="3"/>
  <c r="U34" i="3"/>
  <c r="AX34" i="3"/>
  <c r="Q34" i="3"/>
  <c r="D34" i="3"/>
  <c r="AB34" i="3"/>
  <c r="AO34" i="3"/>
  <c r="AL34" i="3"/>
  <c r="AG34" i="3"/>
  <c r="AQ34" i="3"/>
  <c r="AD34" i="3"/>
  <c r="W34" i="3"/>
  <c r="B34" i="3"/>
  <c r="A35" i="3"/>
  <c r="Q35" i="12" s="1"/>
  <c r="H34" i="3"/>
  <c r="K34" i="3"/>
  <c r="J34" i="3"/>
  <c r="M34" i="3"/>
  <c r="N34" i="3"/>
  <c r="L34" i="3"/>
  <c r="I34" i="3"/>
  <c r="G34" i="3" s="1"/>
  <c r="C34" i="3"/>
  <c r="F34" i="3"/>
  <c r="E34" i="3"/>
  <c r="BN34" i="3" l="1"/>
  <c r="BB34" i="3"/>
  <c r="BH34" i="3"/>
  <c r="BA34" i="3"/>
  <c r="BZ34" i="3"/>
  <c r="BT34" i="3"/>
  <c r="AW35" i="3"/>
  <c r="BZ35" i="3" s="1"/>
  <c r="AH34" i="3"/>
  <c r="AI34" i="3" s="1"/>
  <c r="AY34" i="3"/>
  <c r="CE34" i="3" s="1"/>
  <c r="CF34" i="3" s="1"/>
  <c r="BY34" i="3"/>
  <c r="CE33" i="3"/>
  <c r="CF33" i="3" s="1"/>
  <c r="CG32" i="3"/>
  <c r="BC33" i="3"/>
  <c r="BD33" i="3" s="1"/>
  <c r="BO33" i="3"/>
  <c r="BP33" i="3" s="1"/>
  <c r="BU33" i="3"/>
  <c r="BV33" i="3" s="1"/>
  <c r="AK35" i="3"/>
  <c r="BM34" i="3"/>
  <c r="BK32" i="3"/>
  <c r="BL32" i="3" s="1"/>
  <c r="BE32" i="3"/>
  <c r="BF32" i="3" s="1"/>
  <c r="BW32" i="3"/>
  <c r="BX32" i="3" s="1"/>
  <c r="BP32" i="3"/>
  <c r="BS34" i="3"/>
  <c r="BG34" i="3"/>
  <c r="AS35" i="3"/>
  <c r="AE35" i="3"/>
  <c r="AN35" i="3"/>
  <c r="AP35" i="3"/>
  <c r="AR35" i="3"/>
  <c r="AT35" i="3"/>
  <c r="Y35" i="3"/>
  <c r="AU35" i="3"/>
  <c r="Z35" i="3"/>
  <c r="AA35" i="3"/>
  <c r="S35" i="3"/>
  <c r="AV35" i="3"/>
  <c r="V35" i="3"/>
  <c r="AX35" i="3"/>
  <c r="X35" i="3"/>
  <c r="AF35" i="3"/>
  <c r="Q35" i="3"/>
  <c r="T35" i="3"/>
  <c r="P35" i="3"/>
  <c r="O35" i="3"/>
  <c r="R35" i="3"/>
  <c r="U35" i="3"/>
  <c r="D35" i="3"/>
  <c r="AL35" i="3"/>
  <c r="AB35" i="3"/>
  <c r="AO35" i="3"/>
  <c r="AG35" i="3"/>
  <c r="AQ35" i="3"/>
  <c r="AD35" i="3"/>
  <c r="W35" i="3"/>
  <c r="B35" i="3"/>
  <c r="BK33" i="3"/>
  <c r="BL33" i="3" s="1"/>
  <c r="BJ33" i="3"/>
  <c r="A36" i="3"/>
  <c r="Q36" i="12" s="1"/>
  <c r="H35" i="3"/>
  <c r="K35" i="3"/>
  <c r="J35" i="3"/>
  <c r="N35" i="3"/>
  <c r="L35" i="3"/>
  <c r="I35" i="3"/>
  <c r="G35" i="3" s="1"/>
  <c r="M35" i="3"/>
  <c r="C35" i="3"/>
  <c r="F35" i="3"/>
  <c r="E35" i="3"/>
  <c r="AM35" i="3" l="1"/>
  <c r="BH35" i="3"/>
  <c r="BT35" i="3"/>
  <c r="BN35" i="3"/>
  <c r="BB35" i="3"/>
  <c r="BA35" i="3"/>
  <c r="AW36" i="3"/>
  <c r="AM36" i="3" s="1"/>
  <c r="AH35" i="3"/>
  <c r="AI35" i="3" s="1"/>
  <c r="BE33" i="3"/>
  <c r="BF33" i="3" s="1"/>
  <c r="CG33" i="3"/>
  <c r="AY35" i="3"/>
  <c r="BQ33" i="3"/>
  <c r="BR33" i="3" s="1"/>
  <c r="BC34" i="3"/>
  <c r="BD34" i="3" s="1"/>
  <c r="BW33" i="3"/>
  <c r="BX33" i="3" s="1"/>
  <c r="BM35" i="3"/>
  <c r="AK36" i="3"/>
  <c r="BU34" i="3"/>
  <c r="BV34" i="3" s="1"/>
  <c r="BO34" i="3"/>
  <c r="BP34" i="3" s="1"/>
  <c r="BI34" i="3"/>
  <c r="BJ34" i="3" s="1"/>
  <c r="BS35" i="3"/>
  <c r="BG35" i="3"/>
  <c r="AC35" i="3"/>
  <c r="AS36" i="3"/>
  <c r="AV36" i="3"/>
  <c r="AA36" i="3"/>
  <c r="AN36" i="3"/>
  <c r="AP36" i="3"/>
  <c r="AR36" i="3"/>
  <c r="AT36" i="3"/>
  <c r="Y36" i="3"/>
  <c r="R36" i="3"/>
  <c r="AU36" i="3"/>
  <c r="U36" i="3"/>
  <c r="T36" i="3"/>
  <c r="AX36" i="3"/>
  <c r="AE36" i="3"/>
  <c r="BA36" i="3" s="1"/>
  <c r="AF36" i="3"/>
  <c r="Z36" i="3"/>
  <c r="P36" i="3"/>
  <c r="X36" i="3"/>
  <c r="S36" i="3"/>
  <c r="V36" i="3"/>
  <c r="O36" i="3"/>
  <c r="Q36" i="3"/>
  <c r="D36" i="3"/>
  <c r="W36" i="3"/>
  <c r="AL36" i="3"/>
  <c r="AB36" i="3"/>
  <c r="AO36" i="3"/>
  <c r="AG36" i="3"/>
  <c r="AQ36" i="3"/>
  <c r="AD36" i="3"/>
  <c r="B36" i="3"/>
  <c r="CG34" i="3"/>
  <c r="A37" i="3"/>
  <c r="Q37" i="12" s="1"/>
  <c r="M36" i="3"/>
  <c r="H36" i="3"/>
  <c r="K36" i="3"/>
  <c r="J36" i="3"/>
  <c r="F36" i="3"/>
  <c r="E36" i="3"/>
  <c r="N36" i="3"/>
  <c r="L36" i="3"/>
  <c r="I36" i="3"/>
  <c r="G36" i="3" s="1"/>
  <c r="C36" i="3"/>
  <c r="BT36" i="3" l="1"/>
  <c r="BZ36" i="3"/>
  <c r="BB36" i="3"/>
  <c r="BH36" i="3"/>
  <c r="BN36" i="3"/>
  <c r="AW37" i="3"/>
  <c r="BZ37" i="3" s="1"/>
  <c r="AH36" i="3"/>
  <c r="AI36" i="3" s="1"/>
  <c r="CE35" i="3"/>
  <c r="CF35" i="3" s="1"/>
  <c r="AY36" i="3"/>
  <c r="BY35" i="3"/>
  <c r="BE34" i="3"/>
  <c r="BF34" i="3" s="1"/>
  <c r="BO35" i="3"/>
  <c r="BP35" i="3" s="1"/>
  <c r="AK37" i="3"/>
  <c r="BM36" i="3"/>
  <c r="BW34" i="3"/>
  <c r="BX34" i="3" s="1"/>
  <c r="BQ34" i="3"/>
  <c r="BR34" i="3" s="1"/>
  <c r="BK34" i="3"/>
  <c r="BL34" i="3" s="1"/>
  <c r="BC35" i="3"/>
  <c r="BE35" i="3" s="1"/>
  <c r="BF35" i="3" s="1"/>
  <c r="BI35" i="3"/>
  <c r="BJ35" i="3" s="1"/>
  <c r="BU35" i="3"/>
  <c r="BW35" i="3" s="1"/>
  <c r="BX35" i="3" s="1"/>
  <c r="BG36" i="3"/>
  <c r="BS36" i="3"/>
  <c r="AC36" i="3"/>
  <c r="AS37" i="3"/>
  <c r="AU37" i="3"/>
  <c r="Z37" i="3"/>
  <c r="AV37" i="3"/>
  <c r="AF37" i="3"/>
  <c r="AN37" i="3"/>
  <c r="AP37" i="3"/>
  <c r="AR37" i="3"/>
  <c r="Q37" i="3"/>
  <c r="AT37" i="3"/>
  <c r="AA37" i="3"/>
  <c r="T37" i="3"/>
  <c r="V37" i="3"/>
  <c r="O37" i="3"/>
  <c r="AE37" i="3"/>
  <c r="AC37" i="3" s="1"/>
  <c r="Y37" i="3"/>
  <c r="X37" i="3"/>
  <c r="R37" i="3"/>
  <c r="AX37" i="3"/>
  <c r="P37" i="3"/>
  <c r="S37" i="3"/>
  <c r="U37" i="3"/>
  <c r="D37" i="3"/>
  <c r="W37" i="3"/>
  <c r="AD37" i="3"/>
  <c r="AL37" i="3"/>
  <c r="AB37" i="3"/>
  <c r="AO37" i="3"/>
  <c r="AG37" i="3"/>
  <c r="AQ37" i="3"/>
  <c r="B37" i="3"/>
  <c r="A38" i="3"/>
  <c r="Q38" i="12" s="1"/>
  <c r="M37" i="3"/>
  <c r="H37" i="3"/>
  <c r="F37" i="3"/>
  <c r="E37" i="3"/>
  <c r="K37" i="3"/>
  <c r="J37" i="3"/>
  <c r="N37" i="3"/>
  <c r="L37" i="3"/>
  <c r="I37" i="3"/>
  <c r="G37" i="3" s="1"/>
  <c r="C37" i="3"/>
  <c r="AM37" i="3" l="1"/>
  <c r="BT37" i="3"/>
  <c r="BN37" i="3"/>
  <c r="BB37" i="3"/>
  <c r="BH37" i="3"/>
  <c r="BA37" i="3"/>
  <c r="AW38" i="3"/>
  <c r="AM38" i="3" s="1"/>
  <c r="AH37" i="3"/>
  <c r="AI37" i="3" s="1"/>
  <c r="CG35" i="3"/>
  <c r="BY37" i="3"/>
  <c r="BQ35" i="3"/>
  <c r="BR35" i="3" s="1"/>
  <c r="AY37" i="3"/>
  <c r="CE36" i="3"/>
  <c r="CF36" i="3" s="1"/>
  <c r="BY36" i="3"/>
  <c r="AK38" i="3"/>
  <c r="BM37" i="3"/>
  <c r="BK35" i="3"/>
  <c r="BL35" i="3" s="1"/>
  <c r="BD35" i="3"/>
  <c r="BV35" i="3"/>
  <c r="BI36" i="3"/>
  <c r="BK36" i="3" s="1"/>
  <c r="BL36" i="3" s="1"/>
  <c r="BU36" i="3"/>
  <c r="BV36" i="3" s="1"/>
  <c r="BC36" i="3"/>
  <c r="BE36" i="3" s="1"/>
  <c r="BF36" i="3" s="1"/>
  <c r="BO36" i="3"/>
  <c r="BP36" i="3" s="1"/>
  <c r="BG37" i="3"/>
  <c r="BS37" i="3"/>
  <c r="AS38" i="3"/>
  <c r="AT38" i="3"/>
  <c r="Y38" i="3"/>
  <c r="AU38" i="3"/>
  <c r="AV38" i="3"/>
  <c r="AE38" i="3"/>
  <c r="AF38" i="3"/>
  <c r="AN38" i="3"/>
  <c r="AP38" i="3"/>
  <c r="P38" i="3"/>
  <c r="AR38" i="3"/>
  <c r="S38" i="3"/>
  <c r="Z38" i="3"/>
  <c r="U38" i="3"/>
  <c r="T38" i="3"/>
  <c r="O38" i="3"/>
  <c r="Q38" i="3"/>
  <c r="AX38" i="3"/>
  <c r="AA38" i="3"/>
  <c r="X38" i="3"/>
  <c r="V38" i="3"/>
  <c r="R38" i="3"/>
  <c r="D38" i="3"/>
  <c r="AD38" i="3"/>
  <c r="W38" i="3"/>
  <c r="AQ38" i="3"/>
  <c r="AL38" i="3"/>
  <c r="AB38" i="3"/>
  <c r="AO38" i="3"/>
  <c r="AG38" i="3"/>
  <c r="B38" i="3"/>
  <c r="A39" i="3"/>
  <c r="Q39" i="12" s="1"/>
  <c r="K38" i="3"/>
  <c r="J38" i="3"/>
  <c r="M38" i="3"/>
  <c r="H38" i="3"/>
  <c r="C38" i="3"/>
  <c r="F38" i="3"/>
  <c r="E38" i="3"/>
  <c r="N38" i="3"/>
  <c r="L38" i="3"/>
  <c r="I38" i="3"/>
  <c r="G38" i="3" s="1"/>
  <c r="BA38" i="3" l="1"/>
  <c r="BT38" i="3"/>
  <c r="BB38" i="3"/>
  <c r="BZ38" i="3"/>
  <c r="BH38" i="3"/>
  <c r="BN38" i="3"/>
  <c r="AW39" i="3"/>
  <c r="BZ39" i="3" s="1"/>
  <c r="AH38" i="3"/>
  <c r="AI38" i="3" s="1"/>
  <c r="AY38" i="3"/>
  <c r="CG36" i="3"/>
  <c r="CE37" i="3"/>
  <c r="CF37" i="3" s="1"/>
  <c r="BC37" i="3"/>
  <c r="BD37" i="3" s="1"/>
  <c r="BM38" i="3"/>
  <c r="AK39" i="3"/>
  <c r="BJ36" i="3"/>
  <c r="BO37" i="3"/>
  <c r="BP37" i="3" s="1"/>
  <c r="BD36" i="3"/>
  <c r="BW36" i="3"/>
  <c r="BX36" i="3" s="1"/>
  <c r="BQ36" i="3"/>
  <c r="BR36" i="3" s="1"/>
  <c r="BI37" i="3"/>
  <c r="BJ37" i="3" s="1"/>
  <c r="BU37" i="3"/>
  <c r="BV37" i="3" s="1"/>
  <c r="BS38" i="3"/>
  <c r="BG38" i="3"/>
  <c r="AC38" i="3"/>
  <c r="AS39" i="3"/>
  <c r="AR39" i="3"/>
  <c r="AT39" i="3"/>
  <c r="AU39" i="3"/>
  <c r="AV39" i="3"/>
  <c r="AA39" i="3"/>
  <c r="AE39" i="3"/>
  <c r="BN39" i="3" s="1"/>
  <c r="AF39" i="3"/>
  <c r="AN39" i="3"/>
  <c r="Z39" i="3"/>
  <c r="X39" i="3"/>
  <c r="O39" i="3"/>
  <c r="AP39" i="3"/>
  <c r="R39" i="3"/>
  <c r="V39" i="3"/>
  <c r="P39" i="3"/>
  <c r="U39" i="3"/>
  <c r="Y39" i="3"/>
  <c r="S39" i="3"/>
  <c r="AX39" i="3"/>
  <c r="T39" i="3"/>
  <c r="Q39" i="3"/>
  <c r="D39" i="3"/>
  <c r="AQ39" i="3"/>
  <c r="AD39" i="3"/>
  <c r="W39" i="3"/>
  <c r="AL39" i="3"/>
  <c r="AB39" i="3"/>
  <c r="AO39" i="3"/>
  <c r="AG39" i="3"/>
  <c r="B39" i="3"/>
  <c r="A40" i="3"/>
  <c r="Q40" i="12" s="1"/>
  <c r="K39" i="3"/>
  <c r="J39" i="3"/>
  <c r="M39" i="3"/>
  <c r="H39" i="3"/>
  <c r="F39" i="3"/>
  <c r="E39" i="3"/>
  <c r="N39" i="3"/>
  <c r="L39" i="3"/>
  <c r="I39" i="3"/>
  <c r="G39" i="3" s="1"/>
  <c r="C39" i="3"/>
  <c r="AM39" i="3" l="1"/>
  <c r="BA39" i="3"/>
  <c r="BT39" i="3"/>
  <c r="BB39" i="3"/>
  <c r="BH39" i="3"/>
  <c r="AW40" i="3"/>
  <c r="AM40" i="3" s="1"/>
  <c r="AH39" i="3"/>
  <c r="AI39" i="3" s="1"/>
  <c r="CG37" i="3"/>
  <c r="BE37" i="3"/>
  <c r="BF37" i="3" s="1"/>
  <c r="AY39" i="3"/>
  <c r="BY38" i="3"/>
  <c r="CE38" i="3"/>
  <c r="CF38" i="3" s="1"/>
  <c r="AK40" i="3"/>
  <c r="BM39" i="3"/>
  <c r="BQ37" i="3"/>
  <c r="BR37" i="3" s="1"/>
  <c r="BK37" i="3"/>
  <c r="BL37" i="3" s="1"/>
  <c r="BW37" i="3"/>
  <c r="BX37" i="3" s="1"/>
  <c r="BC38" i="3"/>
  <c r="BD38" i="3" s="1"/>
  <c r="BU38" i="3"/>
  <c r="BV38" i="3" s="1"/>
  <c r="BO38" i="3"/>
  <c r="BP38" i="3" s="1"/>
  <c r="BI38" i="3"/>
  <c r="BK38" i="3" s="1"/>
  <c r="BL38" i="3" s="1"/>
  <c r="BG39" i="3"/>
  <c r="AC39" i="3"/>
  <c r="BS39" i="3"/>
  <c r="AS40" i="3"/>
  <c r="AP40" i="3"/>
  <c r="AR40" i="3"/>
  <c r="AT40" i="3"/>
  <c r="AU40" i="3"/>
  <c r="Z40" i="3"/>
  <c r="AV40" i="3"/>
  <c r="AA40" i="3"/>
  <c r="AE40" i="3"/>
  <c r="AC40" i="3" s="1"/>
  <c r="AF40" i="3"/>
  <c r="V40" i="3"/>
  <c r="AN40" i="3"/>
  <c r="Q40" i="3"/>
  <c r="X40" i="3"/>
  <c r="P40" i="3"/>
  <c r="Y40" i="3"/>
  <c r="T40" i="3"/>
  <c r="AX40" i="3"/>
  <c r="S40" i="3"/>
  <c r="O40" i="3"/>
  <c r="R40" i="3"/>
  <c r="U40" i="3"/>
  <c r="D40" i="3"/>
  <c r="AG40" i="3"/>
  <c r="AO40" i="3"/>
  <c r="AQ40" i="3"/>
  <c r="AD40" i="3"/>
  <c r="W40" i="3"/>
  <c r="AL40" i="3"/>
  <c r="AB40" i="3"/>
  <c r="B40" i="3"/>
  <c r="A41" i="3"/>
  <c r="Q41" i="12" s="1"/>
  <c r="H40" i="3"/>
  <c r="K40" i="3"/>
  <c r="J40" i="3"/>
  <c r="M40" i="3"/>
  <c r="C40" i="3"/>
  <c r="F40" i="3"/>
  <c r="E40" i="3"/>
  <c r="N40" i="3"/>
  <c r="L40" i="3"/>
  <c r="I40" i="3"/>
  <c r="G40" i="3" s="1"/>
  <c r="BB40" i="3" l="1"/>
  <c r="BA40" i="3"/>
  <c r="BN40" i="3"/>
  <c r="CG38" i="3"/>
  <c r="BZ40" i="3"/>
  <c r="BT40" i="3"/>
  <c r="BH40" i="3"/>
  <c r="AW41" i="3"/>
  <c r="AH40" i="3"/>
  <c r="AI40" i="3" s="1"/>
  <c r="BY40" i="3"/>
  <c r="BY39" i="3"/>
  <c r="AY40" i="3"/>
  <c r="CE39" i="3"/>
  <c r="CG39" i="3" s="1"/>
  <c r="BM40" i="3"/>
  <c r="AK41" i="3"/>
  <c r="BQ38" i="3"/>
  <c r="BR38" i="3" s="1"/>
  <c r="BE38" i="3"/>
  <c r="BF38" i="3" s="1"/>
  <c r="BJ38" i="3"/>
  <c r="BW38" i="3"/>
  <c r="BX38" i="3" s="1"/>
  <c r="BU39" i="3"/>
  <c r="BV39" i="3" s="1"/>
  <c r="BO39" i="3"/>
  <c r="BP39" i="3" s="1"/>
  <c r="BI39" i="3"/>
  <c r="BJ39" i="3" s="1"/>
  <c r="BG40" i="3"/>
  <c r="BC39" i="3"/>
  <c r="BD39" i="3" s="1"/>
  <c r="BS40" i="3"/>
  <c r="AS41" i="3"/>
  <c r="AN41" i="3"/>
  <c r="AP41" i="3"/>
  <c r="AR41" i="3"/>
  <c r="AT41" i="3"/>
  <c r="Y41" i="3"/>
  <c r="AU41" i="3"/>
  <c r="Z41" i="3"/>
  <c r="AV41" i="3"/>
  <c r="AA41" i="3"/>
  <c r="AE41" i="3"/>
  <c r="AF41" i="3"/>
  <c r="U41" i="3"/>
  <c r="P41" i="3"/>
  <c r="Q41" i="3"/>
  <c r="V41" i="3"/>
  <c r="T41" i="3"/>
  <c r="AX41" i="3"/>
  <c r="X41" i="3"/>
  <c r="S41" i="3"/>
  <c r="O41" i="3"/>
  <c r="R41" i="3"/>
  <c r="D41" i="3"/>
  <c r="AO41" i="3"/>
  <c r="AB41" i="3"/>
  <c r="AG41" i="3"/>
  <c r="AQ41" i="3"/>
  <c r="AD41" i="3"/>
  <c r="W41" i="3"/>
  <c r="AL41" i="3"/>
  <c r="B41" i="3"/>
  <c r="A42" i="3"/>
  <c r="Q42" i="12" s="1"/>
  <c r="H41" i="3"/>
  <c r="K41" i="3"/>
  <c r="J41" i="3"/>
  <c r="M41" i="3"/>
  <c r="N41" i="3"/>
  <c r="L41" i="3"/>
  <c r="I41" i="3"/>
  <c r="G41" i="3" s="1"/>
  <c r="F41" i="3"/>
  <c r="E41" i="3"/>
  <c r="C41" i="3"/>
  <c r="BT41" i="3" l="1"/>
  <c r="BA41" i="3"/>
  <c r="AM41" i="3"/>
  <c r="BZ41" i="3"/>
  <c r="BN41" i="3"/>
  <c r="BB41" i="3"/>
  <c r="BH41" i="3"/>
  <c r="BZ42" i="3"/>
  <c r="AW42" i="3"/>
  <c r="AM42" i="3" s="1"/>
  <c r="AH41" i="3"/>
  <c r="AI41" i="3" s="1"/>
  <c r="CE40" i="3"/>
  <c r="CF40" i="3" s="1"/>
  <c r="CF39" i="3"/>
  <c r="AY41" i="3"/>
  <c r="BM41" i="3"/>
  <c r="AK42" i="3"/>
  <c r="BW39" i="3"/>
  <c r="BX39" i="3" s="1"/>
  <c r="BK39" i="3"/>
  <c r="BL39" i="3" s="1"/>
  <c r="BQ39" i="3"/>
  <c r="BR39" i="3" s="1"/>
  <c r="BI40" i="3"/>
  <c r="BK40" i="3" s="1"/>
  <c r="BL40" i="3" s="1"/>
  <c r="BO40" i="3"/>
  <c r="BP40" i="3" s="1"/>
  <c r="BE39" i="3"/>
  <c r="BF39" i="3" s="1"/>
  <c r="BC40" i="3"/>
  <c r="BD40" i="3" s="1"/>
  <c r="BU40" i="3"/>
  <c r="BV40" i="3" s="1"/>
  <c r="BG41" i="3"/>
  <c r="BS41" i="3"/>
  <c r="AS42" i="3"/>
  <c r="AF42" i="3"/>
  <c r="AN42" i="3"/>
  <c r="AP42" i="3"/>
  <c r="AR42" i="3"/>
  <c r="AT42" i="3"/>
  <c r="Y42" i="3"/>
  <c r="AU42" i="3"/>
  <c r="Z42" i="3"/>
  <c r="AV42" i="3"/>
  <c r="AA42" i="3"/>
  <c r="T42" i="3"/>
  <c r="X42" i="3"/>
  <c r="O42" i="3"/>
  <c r="R42" i="3"/>
  <c r="Q42" i="3"/>
  <c r="V42" i="3"/>
  <c r="AE42" i="3"/>
  <c r="BT42" i="3" s="1"/>
  <c r="U42" i="3"/>
  <c r="P42" i="3"/>
  <c r="AX42" i="3"/>
  <c r="S42" i="3"/>
  <c r="D42" i="3"/>
  <c r="AC41" i="3"/>
  <c r="AB42" i="3"/>
  <c r="AL42" i="3"/>
  <c r="AO42" i="3"/>
  <c r="AG42" i="3"/>
  <c r="AQ42" i="3"/>
  <c r="AD42" i="3"/>
  <c r="W42" i="3"/>
  <c r="B42" i="3"/>
  <c r="A43" i="3"/>
  <c r="Q43" i="12" s="1"/>
  <c r="H42" i="3"/>
  <c r="K42" i="3"/>
  <c r="J42" i="3"/>
  <c r="M42" i="3"/>
  <c r="N42" i="3"/>
  <c r="L42" i="3"/>
  <c r="I42" i="3"/>
  <c r="G42" i="3" s="1"/>
  <c r="C42" i="3"/>
  <c r="F42" i="3"/>
  <c r="E42" i="3"/>
  <c r="BN42" i="3" l="1"/>
  <c r="BB42" i="3"/>
  <c r="BH42" i="3"/>
  <c r="BA42" i="3"/>
  <c r="AW43" i="3"/>
  <c r="AM43" i="3" s="1"/>
  <c r="CG40" i="3"/>
  <c r="AH42" i="3"/>
  <c r="AI42" i="3" s="1"/>
  <c r="A44" i="3"/>
  <c r="Q44" i="12" s="1"/>
  <c r="BY41" i="3"/>
  <c r="CE41" i="3"/>
  <c r="CF41" i="3" s="1"/>
  <c r="AY42" i="3"/>
  <c r="BJ40" i="3"/>
  <c r="BC41" i="3"/>
  <c r="BD41" i="3" s="1"/>
  <c r="AK43" i="3"/>
  <c r="BM42" i="3"/>
  <c r="BQ40" i="3"/>
  <c r="BR40" i="3" s="1"/>
  <c r="BW40" i="3"/>
  <c r="BX40" i="3" s="1"/>
  <c r="BE40" i="3"/>
  <c r="BF40" i="3" s="1"/>
  <c r="BI41" i="3"/>
  <c r="BJ41" i="3" s="1"/>
  <c r="BU41" i="3"/>
  <c r="BV41" i="3" s="1"/>
  <c r="BO41" i="3"/>
  <c r="BP41" i="3" s="1"/>
  <c r="BS42" i="3"/>
  <c r="AC42" i="3"/>
  <c r="BG42" i="3"/>
  <c r="AS43" i="3"/>
  <c r="AE43" i="3"/>
  <c r="AC43" i="3" s="1"/>
  <c r="AN43" i="3"/>
  <c r="AP43" i="3"/>
  <c r="AR43" i="3"/>
  <c r="AT43" i="3"/>
  <c r="Y43" i="3"/>
  <c r="AU43" i="3"/>
  <c r="Z43" i="3"/>
  <c r="S43" i="3"/>
  <c r="AF43" i="3"/>
  <c r="AV43" i="3"/>
  <c r="AA43" i="3"/>
  <c r="V43" i="3"/>
  <c r="X43" i="3"/>
  <c r="AX43" i="3"/>
  <c r="R43" i="3"/>
  <c r="D43" i="3"/>
  <c r="U43" i="3"/>
  <c r="O43" i="3"/>
  <c r="T43" i="3"/>
  <c r="Q43" i="3"/>
  <c r="P43" i="3"/>
  <c r="AL43" i="3"/>
  <c r="AB43" i="3"/>
  <c r="AO43" i="3"/>
  <c r="AG43" i="3"/>
  <c r="W43" i="3"/>
  <c r="AQ43" i="3"/>
  <c r="AD43" i="3"/>
  <c r="AH43" i="3"/>
  <c r="B43" i="3"/>
  <c r="H43" i="3"/>
  <c r="K43" i="3"/>
  <c r="J43" i="3"/>
  <c r="N43" i="3"/>
  <c r="L43" i="3"/>
  <c r="I43" i="3"/>
  <c r="G43" i="3" s="1"/>
  <c r="M43" i="3"/>
  <c r="F43" i="3"/>
  <c r="E43" i="3"/>
  <c r="C43" i="3"/>
  <c r="BZ43" i="3" l="1"/>
  <c r="BN43" i="3"/>
  <c r="BB43" i="3"/>
  <c r="BA43" i="3"/>
  <c r="BH43" i="3"/>
  <c r="BT43" i="3"/>
  <c r="AW44" i="3"/>
  <c r="BZ44" i="3" s="1"/>
  <c r="BY43" i="3"/>
  <c r="BM43" i="3"/>
  <c r="AY43" i="3"/>
  <c r="F44" i="3"/>
  <c r="U44" i="3"/>
  <c r="W44" i="3"/>
  <c r="I44" i="3"/>
  <c r="G44" i="3" s="1"/>
  <c r="C44" i="3"/>
  <c r="E44" i="3"/>
  <c r="AF44" i="3"/>
  <c r="AR44" i="3"/>
  <c r="J44" i="3"/>
  <c r="AL44" i="3"/>
  <c r="AP44" i="3"/>
  <c r="AD44" i="3"/>
  <c r="V44" i="3"/>
  <c r="X44" i="3"/>
  <c r="AQ44" i="3"/>
  <c r="M44" i="3"/>
  <c r="AS44" i="3"/>
  <c r="AV44" i="3"/>
  <c r="A45" i="3"/>
  <c r="L44" i="3"/>
  <c r="AT44" i="3"/>
  <c r="Z44" i="3"/>
  <c r="N44" i="3"/>
  <c r="AO44" i="3"/>
  <c r="AU44" i="3"/>
  <c r="T44" i="3"/>
  <c r="D44" i="3"/>
  <c r="B44" i="3"/>
  <c r="P44" i="3"/>
  <c r="AK44" i="3"/>
  <c r="AH44" i="3" s="1"/>
  <c r="AG44" i="3"/>
  <c r="AB44" i="3"/>
  <c r="H44" i="3"/>
  <c r="AN44" i="3"/>
  <c r="S44" i="3"/>
  <c r="Y44" i="3"/>
  <c r="Q44" i="3"/>
  <c r="AE44" i="3"/>
  <c r="K44" i="3"/>
  <c r="AX44" i="3"/>
  <c r="O44" i="3"/>
  <c r="R44" i="3"/>
  <c r="AA44" i="3"/>
  <c r="BE41" i="3"/>
  <c r="BF41" i="3" s="1"/>
  <c r="CG41" i="3"/>
  <c r="BY42" i="3"/>
  <c r="CE42" i="3"/>
  <c r="CF42" i="3" s="1"/>
  <c r="BK41" i="3"/>
  <c r="BL41" i="3" s="1"/>
  <c r="BQ41" i="3"/>
  <c r="BR41" i="3" s="1"/>
  <c r="BW41" i="3"/>
  <c r="BX41" i="3" s="1"/>
  <c r="BC42" i="3"/>
  <c r="BD42" i="3" s="1"/>
  <c r="BU42" i="3"/>
  <c r="BV42" i="3" s="1"/>
  <c r="BO42" i="3"/>
  <c r="BP42" i="3" s="1"/>
  <c r="BS43" i="3"/>
  <c r="BI42" i="3"/>
  <c r="BK42" i="3" s="1"/>
  <c r="BL42" i="3" s="1"/>
  <c r="BG43" i="3"/>
  <c r="AI43" i="3"/>
  <c r="D45" i="3" l="1"/>
  <c r="Q45" i="12"/>
  <c r="BH44" i="3"/>
  <c r="BB44" i="3"/>
  <c r="AI44" i="3"/>
  <c r="BN44" i="3"/>
  <c r="AM44" i="3"/>
  <c r="BA44" i="3"/>
  <c r="BT44" i="3"/>
  <c r="L45" i="3"/>
  <c r="AW45" i="3"/>
  <c r="AM45" i="3" s="1"/>
  <c r="X45" i="3"/>
  <c r="AT45" i="3"/>
  <c r="AR45" i="3"/>
  <c r="R45" i="3"/>
  <c r="AA45" i="3"/>
  <c r="J45" i="3"/>
  <c r="E45" i="3"/>
  <c r="Z45" i="3"/>
  <c r="B45" i="3"/>
  <c r="AU45" i="3"/>
  <c r="C45" i="3"/>
  <c r="AB45" i="3"/>
  <c r="H45" i="3"/>
  <c r="BU43" i="3"/>
  <c r="BW43" i="3" s="1"/>
  <c r="BX43" i="3" s="1"/>
  <c r="A46" i="3"/>
  <c r="Q46" i="12" s="1"/>
  <c r="AH45" i="3"/>
  <c r="AP45" i="3"/>
  <c r="Y45" i="3"/>
  <c r="AN45" i="3"/>
  <c r="K45" i="3"/>
  <c r="AY44" i="3"/>
  <c r="AK45" i="3"/>
  <c r="T45" i="3"/>
  <c r="AG45" i="3"/>
  <c r="I45" i="3"/>
  <c r="N45" i="3"/>
  <c r="AC44" i="3"/>
  <c r="BY44" i="3" s="1"/>
  <c r="BS44" i="3"/>
  <c r="AO45" i="3"/>
  <c r="AQ45" i="3"/>
  <c r="AX45" i="3"/>
  <c r="F45" i="3"/>
  <c r="O45" i="3"/>
  <c r="BG44" i="3"/>
  <c r="CE43" i="3"/>
  <c r="CF43" i="3" s="1"/>
  <c r="CA43" i="3"/>
  <c r="CC43" i="3" s="1"/>
  <c r="CD43" i="3" s="1"/>
  <c r="BM44" i="3"/>
  <c r="P45" i="3"/>
  <c r="W45" i="3"/>
  <c r="M45" i="3"/>
  <c r="V45" i="3"/>
  <c r="AL45" i="3"/>
  <c r="G45" i="3"/>
  <c r="Q45" i="3"/>
  <c r="AD45" i="3"/>
  <c r="AE45" i="3"/>
  <c r="AS45" i="3"/>
  <c r="AF45" i="3"/>
  <c r="AV45" i="3"/>
  <c r="U45" i="3"/>
  <c r="S45" i="3"/>
  <c r="CG42" i="3"/>
  <c r="BE42" i="3"/>
  <c r="BF42" i="3" s="1"/>
  <c r="BW42" i="3"/>
  <c r="BX42" i="3" s="1"/>
  <c r="BJ42" i="3"/>
  <c r="BQ42" i="3"/>
  <c r="BR42" i="3" s="1"/>
  <c r="BI43" i="3"/>
  <c r="BJ43" i="3" s="1"/>
  <c r="BO43" i="3"/>
  <c r="BQ43" i="3" s="1"/>
  <c r="BR43" i="3" s="1"/>
  <c r="BC43" i="3"/>
  <c r="BE43" i="3" s="1"/>
  <c r="BF43" i="3" s="1"/>
  <c r="AY45" i="3" l="1"/>
  <c r="BN45" i="3"/>
  <c r="BU44" i="3"/>
  <c r="BV44" i="3" s="1"/>
  <c r="BV43" i="3"/>
  <c r="BT45" i="3"/>
  <c r="BB45" i="3"/>
  <c r="BH45" i="3"/>
  <c r="BA45" i="3"/>
  <c r="BZ45" i="3"/>
  <c r="AW46" i="3"/>
  <c r="AM46" i="3" s="1"/>
  <c r="AI45" i="3"/>
  <c r="J46" i="3"/>
  <c r="C46" i="3"/>
  <c r="I46" i="3"/>
  <c r="G46" i="3" s="1"/>
  <c r="AS46" i="3"/>
  <c r="AP46" i="3"/>
  <c r="AQ46" i="3"/>
  <c r="F46" i="3"/>
  <c r="U46" i="3"/>
  <c r="AA46" i="3"/>
  <c r="BC44" i="3"/>
  <c r="BE44" i="3" s="1"/>
  <c r="BF44" i="3" s="1"/>
  <c r="S46" i="3"/>
  <c r="AG46" i="3"/>
  <c r="Y46" i="3"/>
  <c r="X46" i="3"/>
  <c r="AT46" i="3"/>
  <c r="W46" i="3"/>
  <c r="AK46" i="3"/>
  <c r="AH46" i="3" s="1"/>
  <c r="AL46" i="3"/>
  <c r="CB43" i="3"/>
  <c r="AX46" i="3"/>
  <c r="A47" i="3"/>
  <c r="Q47" i="12" s="1"/>
  <c r="AV46" i="3"/>
  <c r="E46" i="3"/>
  <c r="AN46" i="3"/>
  <c r="Z46" i="3"/>
  <c r="AO46" i="3"/>
  <c r="R46" i="3"/>
  <c r="Q46" i="3"/>
  <c r="P46" i="3"/>
  <c r="D46" i="3"/>
  <c r="AD46" i="3"/>
  <c r="AE46" i="3"/>
  <c r="AC46" i="3" s="1"/>
  <c r="M46" i="3"/>
  <c r="L46" i="3"/>
  <c r="N46" i="3"/>
  <c r="H46" i="3"/>
  <c r="AF46" i="3"/>
  <c r="O46" i="3"/>
  <c r="K46" i="3"/>
  <c r="V46" i="3"/>
  <c r="B46" i="3"/>
  <c r="AB46" i="3"/>
  <c r="T46" i="3"/>
  <c r="AU46" i="3"/>
  <c r="AR46" i="3"/>
  <c r="BI44" i="3"/>
  <c r="BK44" i="3" s="1"/>
  <c r="BL44" i="3" s="1"/>
  <c r="BK43" i="3"/>
  <c r="BL43" i="3" s="1"/>
  <c r="BO44" i="3"/>
  <c r="BP44" i="3" s="1"/>
  <c r="AC45" i="3"/>
  <c r="BY45" i="3" s="1"/>
  <c r="BM45" i="3"/>
  <c r="BD44" i="3"/>
  <c r="BS45" i="3"/>
  <c r="CA44" i="3"/>
  <c r="CG43" i="3"/>
  <c r="BG45" i="3"/>
  <c r="CE44" i="3"/>
  <c r="BP43" i="3"/>
  <c r="BD43" i="3"/>
  <c r="BS46" i="3" l="1"/>
  <c r="BW44" i="3"/>
  <c r="BX44" i="3" s="1"/>
  <c r="BM46" i="3"/>
  <c r="BN46" i="3"/>
  <c r="AI46" i="3"/>
  <c r="BB46" i="3"/>
  <c r="BH46" i="3"/>
  <c r="BA46" i="3"/>
  <c r="BC46" i="3" s="1"/>
  <c r="BT46" i="3"/>
  <c r="BU46" i="3" s="1"/>
  <c r="BZ46" i="3"/>
  <c r="AW47" i="3"/>
  <c r="AM47" i="3" s="1"/>
  <c r="BJ44" i="3"/>
  <c r="S47" i="3"/>
  <c r="C47" i="3"/>
  <c r="J47" i="3"/>
  <c r="BY46" i="3"/>
  <c r="AX47" i="3"/>
  <c r="I47" i="3"/>
  <c r="G47" i="3" s="1"/>
  <c r="AQ47" i="3"/>
  <c r="M47" i="3"/>
  <c r="Z47" i="3"/>
  <c r="BI45" i="3"/>
  <c r="BK45" i="3" s="1"/>
  <c r="BL45" i="3" s="1"/>
  <c r="B47" i="3"/>
  <c r="AU47" i="3"/>
  <c r="Y47" i="3"/>
  <c r="L47" i="3"/>
  <c r="R47" i="3"/>
  <c r="K47" i="3"/>
  <c r="AK47" i="3"/>
  <c r="AH47" i="3" s="1"/>
  <c r="AI47" i="3" s="1"/>
  <c r="W47" i="3"/>
  <c r="BO46" i="3"/>
  <c r="AO47" i="3"/>
  <c r="AT47" i="3"/>
  <c r="AN47" i="3"/>
  <c r="O47" i="3"/>
  <c r="H47" i="3"/>
  <c r="A48" i="3"/>
  <c r="Q48" i="12" s="1"/>
  <c r="D47" i="3"/>
  <c r="U47" i="3"/>
  <c r="AV47" i="3"/>
  <c r="N47" i="3"/>
  <c r="AA47" i="3"/>
  <c r="E47" i="3"/>
  <c r="AG47" i="3"/>
  <c r="P47" i="3"/>
  <c r="AY46" i="3"/>
  <c r="CE46" i="3" s="1"/>
  <c r="CG46" i="3" s="1"/>
  <c r="F47" i="3"/>
  <c r="AP47" i="3"/>
  <c r="AS47" i="3"/>
  <c r="AL47" i="3"/>
  <c r="X47" i="3"/>
  <c r="Q47" i="3"/>
  <c r="AR47" i="3"/>
  <c r="AE47" i="3"/>
  <c r="AC47" i="3" s="1"/>
  <c r="AF47" i="3"/>
  <c r="T47" i="3"/>
  <c r="AB47" i="3"/>
  <c r="AD47" i="3"/>
  <c r="V47" i="3"/>
  <c r="BG46" i="3"/>
  <c r="CE45" i="3"/>
  <c r="CF45" i="3" s="1"/>
  <c r="BC45" i="3"/>
  <c r="BD45" i="3" s="1"/>
  <c r="BQ44" i="3"/>
  <c r="BR44" i="3" s="1"/>
  <c r="CC44" i="3"/>
  <c r="CD44" i="3" s="1"/>
  <c r="CB44" i="3"/>
  <c r="BO45" i="3"/>
  <c r="CF44" i="3"/>
  <c r="CG44" i="3"/>
  <c r="BJ45" i="3"/>
  <c r="BU45" i="3"/>
  <c r="CA45" i="3"/>
  <c r="BI46" i="3" l="1"/>
  <c r="BJ46" i="3" s="1"/>
  <c r="BN47" i="3"/>
  <c r="BB47" i="3"/>
  <c r="BH47" i="3"/>
  <c r="BA47" i="3"/>
  <c r="BT47" i="3"/>
  <c r="BY47" i="3"/>
  <c r="BZ47" i="3"/>
  <c r="AW48" i="3"/>
  <c r="AM48" i="3" s="1"/>
  <c r="AY47" i="3"/>
  <c r="CE47" i="3" s="1"/>
  <c r="CF47" i="3" s="1"/>
  <c r="AB48" i="3"/>
  <c r="U48" i="3"/>
  <c r="AR48" i="3"/>
  <c r="Q48" i="3"/>
  <c r="AA48" i="3"/>
  <c r="CF46" i="3"/>
  <c r="W48" i="3"/>
  <c r="A49" i="3"/>
  <c r="Q49" i="12" s="1"/>
  <c r="AG48" i="3"/>
  <c r="J48" i="3"/>
  <c r="H48" i="3"/>
  <c r="F48" i="3"/>
  <c r="AF48" i="3"/>
  <c r="Y48" i="3"/>
  <c r="AS48" i="3"/>
  <c r="AO48" i="3"/>
  <c r="N48" i="3"/>
  <c r="Z48" i="3"/>
  <c r="S48" i="3"/>
  <c r="P48" i="3"/>
  <c r="AQ48" i="3"/>
  <c r="AD48" i="3"/>
  <c r="V48" i="3"/>
  <c r="AX48" i="3"/>
  <c r="AP48" i="3"/>
  <c r="BG47" i="3"/>
  <c r="K48" i="3"/>
  <c r="BP46" i="3"/>
  <c r="BQ46" i="3"/>
  <c r="BR46" i="3" s="1"/>
  <c r="BW46" i="3"/>
  <c r="BX46" i="3" s="1"/>
  <c r="BV46" i="3"/>
  <c r="O48" i="3"/>
  <c r="AN48" i="3"/>
  <c r="L48" i="3"/>
  <c r="AL48" i="3"/>
  <c r="AT48" i="3"/>
  <c r="BM47" i="3"/>
  <c r="BO47" i="3" s="1"/>
  <c r="AV48" i="3"/>
  <c r="BS47" i="3"/>
  <c r="T48" i="3"/>
  <c r="AK48" i="3"/>
  <c r="AH48" i="3" s="1"/>
  <c r="X48" i="3"/>
  <c r="E48" i="3"/>
  <c r="AE48" i="3"/>
  <c r="D48" i="3"/>
  <c r="B48" i="3"/>
  <c r="I48" i="3"/>
  <c r="G48" i="3" s="1"/>
  <c r="C48" i="3"/>
  <c r="R48" i="3"/>
  <c r="AU48" i="3"/>
  <c r="M48" i="3"/>
  <c r="CA46" i="3"/>
  <c r="BK46" i="3"/>
  <c r="BL46" i="3" s="1"/>
  <c r="CG45" i="3"/>
  <c r="BE45" i="3"/>
  <c r="BF45" i="3" s="1"/>
  <c r="BD46" i="3"/>
  <c r="BE46" i="3"/>
  <c r="BF46" i="3" s="1"/>
  <c r="BV45" i="3"/>
  <c r="BW45" i="3"/>
  <c r="BX45" i="3" s="1"/>
  <c r="CB45" i="3"/>
  <c r="CC45" i="3"/>
  <c r="CD45" i="3" s="1"/>
  <c r="BP45" i="3"/>
  <c r="BQ45" i="3"/>
  <c r="BR45" i="3" s="1"/>
  <c r="CA47" i="3" l="1"/>
  <c r="CC47" i="3" s="1"/>
  <c r="CD47" i="3" s="1"/>
  <c r="BT48" i="3"/>
  <c r="BZ48" i="3"/>
  <c r="BB48" i="3"/>
  <c r="BN48" i="3"/>
  <c r="BH48" i="3"/>
  <c r="BA48" i="3"/>
  <c r="BC48" i="3" s="1"/>
  <c r="AW49" i="3"/>
  <c r="AM49" i="3" s="1"/>
  <c r="BS48" i="3"/>
  <c r="P49" i="3"/>
  <c r="BU47" i="3"/>
  <c r="BV47" i="3" s="1"/>
  <c r="BM48" i="3"/>
  <c r="BC47" i="3"/>
  <c r="BD47" i="3" s="1"/>
  <c r="BG48" i="3"/>
  <c r="CG47" i="3"/>
  <c r="AI48" i="3"/>
  <c r="AQ49" i="3"/>
  <c r="AN49" i="3"/>
  <c r="AD49" i="3"/>
  <c r="D49" i="3"/>
  <c r="AV49" i="3"/>
  <c r="Z49" i="3"/>
  <c r="AO49" i="3"/>
  <c r="R49" i="3"/>
  <c r="W49" i="3"/>
  <c r="AB49" i="3"/>
  <c r="M49" i="3"/>
  <c r="AL49" i="3"/>
  <c r="L49" i="3"/>
  <c r="AY48" i="3"/>
  <c r="AC48" i="3"/>
  <c r="BY48" i="3" s="1"/>
  <c r="BI47" i="3"/>
  <c r="H49" i="3"/>
  <c r="AK49" i="3"/>
  <c r="AH49" i="3" s="1"/>
  <c r="X49" i="3"/>
  <c r="AF49" i="3"/>
  <c r="AP49" i="3"/>
  <c r="O49" i="3"/>
  <c r="B49" i="3"/>
  <c r="AA49" i="3"/>
  <c r="V49" i="3"/>
  <c r="C49" i="3"/>
  <c r="Q49" i="3"/>
  <c r="AU49" i="3"/>
  <c r="E49" i="3"/>
  <c r="I49" i="3"/>
  <c r="G49" i="3" s="1"/>
  <c r="N49" i="3"/>
  <c r="T49" i="3"/>
  <c r="AG49" i="3"/>
  <c r="AR49" i="3"/>
  <c r="J49" i="3"/>
  <c r="S49" i="3"/>
  <c r="AT49" i="3"/>
  <c r="K49" i="3"/>
  <c r="Y49" i="3"/>
  <c r="U49" i="3"/>
  <c r="AX49" i="3"/>
  <c r="A50" i="3"/>
  <c r="Q50" i="12" s="1"/>
  <c r="F49" i="3"/>
  <c r="AS49" i="3"/>
  <c r="AE49" i="3"/>
  <c r="AC49" i="3" s="1"/>
  <c r="CC46" i="3"/>
  <c r="CD46" i="3" s="1"/>
  <c r="CB46" i="3"/>
  <c r="CB47" i="3"/>
  <c r="BP47" i="3"/>
  <c r="BQ47" i="3"/>
  <c r="BR47" i="3" s="1"/>
  <c r="BW47" i="3" l="1"/>
  <c r="BX47" i="3" s="1"/>
  <c r="BO48" i="3"/>
  <c r="BP48" i="3" s="1"/>
  <c r="BU48" i="3"/>
  <c r="BV48" i="3" s="1"/>
  <c r="BZ49" i="3"/>
  <c r="BT49" i="3"/>
  <c r="BN49" i="3"/>
  <c r="BE47" i="3"/>
  <c r="BF47" i="3" s="1"/>
  <c r="BB49" i="3"/>
  <c r="BH49" i="3"/>
  <c r="BA49" i="3"/>
  <c r="AW50" i="3"/>
  <c r="AM50" i="3" s="1"/>
  <c r="BI48" i="3"/>
  <c r="AI49" i="3"/>
  <c r="AY49" i="3"/>
  <c r="CE49" i="3" s="1"/>
  <c r="BY49" i="3"/>
  <c r="CA49" i="3" s="1"/>
  <c r="CE48" i="3"/>
  <c r="CF48" i="3" s="1"/>
  <c r="CA48" i="3"/>
  <c r="CB48" i="3" s="1"/>
  <c r="BM49" i="3"/>
  <c r="BS49" i="3"/>
  <c r="AR50" i="3"/>
  <c r="M50" i="3"/>
  <c r="AQ50" i="3"/>
  <c r="N50" i="3"/>
  <c r="BK47" i="3"/>
  <c r="BL47" i="3" s="1"/>
  <c r="BJ47" i="3"/>
  <c r="BG49" i="3"/>
  <c r="AP50" i="3"/>
  <c r="AU50" i="3"/>
  <c r="AB50" i="3"/>
  <c r="AK50" i="3"/>
  <c r="AH50" i="3" s="1"/>
  <c r="Z50" i="3"/>
  <c r="R50" i="3"/>
  <c r="B50" i="3"/>
  <c r="AO50" i="3"/>
  <c r="AN50" i="3"/>
  <c r="AV50" i="3"/>
  <c r="F50" i="3"/>
  <c r="AF50" i="3"/>
  <c r="P50" i="3"/>
  <c r="K50" i="3"/>
  <c r="I50" i="3"/>
  <c r="G50" i="3" s="1"/>
  <c r="Y50" i="3"/>
  <c r="J50" i="3"/>
  <c r="S50" i="3"/>
  <c r="C50" i="3"/>
  <c r="AS50" i="3"/>
  <c r="V50" i="3"/>
  <c r="E50" i="3"/>
  <c r="AG50" i="3"/>
  <c r="AE50" i="3"/>
  <c r="X50" i="3"/>
  <c r="D50" i="3"/>
  <c r="AA50" i="3"/>
  <c r="O50" i="3"/>
  <c r="U50" i="3"/>
  <c r="Q50" i="3"/>
  <c r="L50" i="3"/>
  <c r="AT50" i="3"/>
  <c r="AD50" i="3"/>
  <c r="AL50" i="3"/>
  <c r="W50" i="3"/>
  <c r="AX50" i="3"/>
  <c r="T50" i="3"/>
  <c r="H50" i="3"/>
  <c r="A51" i="3"/>
  <c r="Q51" i="12" s="1"/>
  <c r="BW48" i="3"/>
  <c r="BX48" i="3" s="1"/>
  <c r="BE48" i="3"/>
  <c r="BF48" i="3" s="1"/>
  <c r="BD48" i="3"/>
  <c r="BK48" i="3"/>
  <c r="BL48" i="3" s="1"/>
  <c r="BJ48" i="3"/>
  <c r="CC48" i="3" l="1"/>
  <c r="CD48" i="3" s="1"/>
  <c r="BO49" i="3"/>
  <c r="BP49" i="3" s="1"/>
  <c r="BC49" i="3"/>
  <c r="BD49" i="3" s="1"/>
  <c r="BQ48" i="3"/>
  <c r="BR48" i="3" s="1"/>
  <c r="CG48" i="3"/>
  <c r="BB50" i="3"/>
  <c r="BA50" i="3"/>
  <c r="BC50" i="3" s="1"/>
  <c r="BD50" i="3" s="1"/>
  <c r="BZ50" i="3"/>
  <c r="BH50" i="3"/>
  <c r="BT50" i="3"/>
  <c r="BN50" i="3"/>
  <c r="AW51" i="3"/>
  <c r="AM51" i="3" s="1"/>
  <c r="AI50" i="3"/>
  <c r="AY50" i="3"/>
  <c r="BI49" i="3"/>
  <c r="BK49" i="3" s="1"/>
  <c r="BL49" i="3" s="1"/>
  <c r="BU49" i="3"/>
  <c r="BV49" i="3" s="1"/>
  <c r="BG50" i="3"/>
  <c r="BI50" i="3" s="1"/>
  <c r="BJ50" i="3" s="1"/>
  <c r="BS50" i="3"/>
  <c r="AC50" i="3"/>
  <c r="BY50" i="3" s="1"/>
  <c r="BE49" i="3"/>
  <c r="BF49" i="3" s="1"/>
  <c r="BM50" i="3"/>
  <c r="AK51" i="3"/>
  <c r="AH51" i="3" s="1"/>
  <c r="M51" i="3"/>
  <c r="AE51" i="3"/>
  <c r="AS51" i="3"/>
  <c r="E51" i="3"/>
  <c r="J51" i="3"/>
  <c r="V51" i="3"/>
  <c r="F51" i="3"/>
  <c r="K51" i="3"/>
  <c r="AD51" i="3"/>
  <c r="Q51" i="3"/>
  <c r="AX51" i="3"/>
  <c r="P51" i="3"/>
  <c r="AL51" i="3"/>
  <c r="AA51" i="3"/>
  <c r="AU51" i="3"/>
  <c r="B51" i="3"/>
  <c r="AQ51" i="3"/>
  <c r="AG51" i="3"/>
  <c r="AN51" i="3"/>
  <c r="T51" i="3"/>
  <c r="W51" i="3"/>
  <c r="X51" i="3"/>
  <c r="A52" i="3"/>
  <c r="Q52" i="12" s="1"/>
  <c r="I51" i="3"/>
  <c r="G51" i="3" s="1"/>
  <c r="H51" i="3"/>
  <c r="C51" i="3"/>
  <c r="AO51" i="3"/>
  <c r="Y51" i="3"/>
  <c r="S51" i="3"/>
  <c r="O51" i="3"/>
  <c r="Z51" i="3"/>
  <c r="AR51" i="3"/>
  <c r="AP51" i="3"/>
  <c r="R51" i="3"/>
  <c r="AV51" i="3"/>
  <c r="N51" i="3"/>
  <c r="L51" i="3"/>
  <c r="AB51" i="3"/>
  <c r="U51" i="3"/>
  <c r="AT51" i="3"/>
  <c r="D51" i="3"/>
  <c r="AF51" i="3"/>
  <c r="BQ49" i="3"/>
  <c r="BR49" i="3" s="1"/>
  <c r="CG49" i="3"/>
  <c r="CF49" i="3"/>
  <c r="CB49" i="3"/>
  <c r="CC49" i="3"/>
  <c r="CD49" i="3" s="1"/>
  <c r="CA50" i="3" l="1"/>
  <c r="BZ51" i="3"/>
  <c r="BA51" i="3"/>
  <c r="BT51" i="3"/>
  <c r="AC51" i="3"/>
  <c r="CE50" i="3"/>
  <c r="BH51" i="3"/>
  <c r="BN51" i="3"/>
  <c r="BB51" i="3"/>
  <c r="BS51" i="3"/>
  <c r="BW49" i="3"/>
  <c r="BX49" i="3" s="1"/>
  <c r="AW52" i="3"/>
  <c r="AM52" i="3" s="1"/>
  <c r="BU50" i="3"/>
  <c r="BW50" i="3" s="1"/>
  <c r="BX50" i="3" s="1"/>
  <c r="BJ49" i="3"/>
  <c r="BO50" i="3"/>
  <c r="BP50" i="3" s="1"/>
  <c r="BM51" i="3"/>
  <c r="AY51" i="3"/>
  <c r="CE51" i="3" s="1"/>
  <c r="BG51" i="3"/>
  <c r="AI51" i="3"/>
  <c r="B52" i="3"/>
  <c r="D52" i="3"/>
  <c r="AQ52" i="3"/>
  <c r="AV52" i="3"/>
  <c r="N52" i="3"/>
  <c r="C52" i="3"/>
  <c r="AF52" i="3"/>
  <c r="AB52" i="3"/>
  <c r="AN52" i="3"/>
  <c r="Z52" i="3"/>
  <c r="T52" i="3"/>
  <c r="E52" i="3"/>
  <c r="P52" i="3"/>
  <c r="AR52" i="3"/>
  <c r="U52" i="3"/>
  <c r="AK52" i="3"/>
  <c r="AH52" i="3" s="1"/>
  <c r="AT52" i="3"/>
  <c r="AL52" i="3"/>
  <c r="F52" i="3"/>
  <c r="AD52" i="3"/>
  <c r="O52" i="3"/>
  <c r="Y52" i="3"/>
  <c r="AS52" i="3"/>
  <c r="AE52" i="3"/>
  <c r="AC52" i="3" s="1"/>
  <c r="M52" i="3"/>
  <c r="J52" i="3"/>
  <c r="AU52" i="3"/>
  <c r="V52" i="3"/>
  <c r="A53" i="3"/>
  <c r="Q53" i="12" s="1"/>
  <c r="R52" i="3"/>
  <c r="AO52" i="3"/>
  <c r="AG52" i="3"/>
  <c r="H52" i="3"/>
  <c r="Q52" i="3"/>
  <c r="AP52" i="3"/>
  <c r="S52" i="3"/>
  <c r="I52" i="3"/>
  <c r="G52" i="3" s="1"/>
  <c r="AX52" i="3"/>
  <c r="AA52" i="3"/>
  <c r="K52" i="3"/>
  <c r="W52" i="3"/>
  <c r="X52" i="3"/>
  <c r="L52" i="3"/>
  <c r="BE50" i="3"/>
  <c r="BF50" i="3" s="1"/>
  <c r="BK50" i="3"/>
  <c r="BL50" i="3" s="1"/>
  <c r="BY51" i="3"/>
  <c r="BU51" i="3"/>
  <c r="CF50" i="3"/>
  <c r="CG50" i="3"/>
  <c r="CB50" i="3"/>
  <c r="CC50" i="3"/>
  <c r="CD50" i="3" s="1"/>
  <c r="BC51" i="3" l="1"/>
  <c r="BE51" i="3" s="1"/>
  <c r="BF51" i="3" s="1"/>
  <c r="AY52" i="3"/>
  <c r="CE52" i="3" s="1"/>
  <c r="BH52" i="3"/>
  <c r="BN52" i="3"/>
  <c r="BA52" i="3"/>
  <c r="BV50" i="3"/>
  <c r="BT52" i="3"/>
  <c r="BZ52" i="3"/>
  <c r="BQ50" i="3"/>
  <c r="BR50" i="3" s="1"/>
  <c r="BB52" i="3"/>
  <c r="AW53" i="3"/>
  <c r="BZ53" i="3" s="1"/>
  <c r="BO51" i="3"/>
  <c r="BQ51" i="3" s="1"/>
  <c r="BR51" i="3" s="1"/>
  <c r="BD51" i="3"/>
  <c r="BY52" i="3"/>
  <c r="AI52" i="3"/>
  <c r="BG52" i="3"/>
  <c r="BI52" i="3" s="1"/>
  <c r="BM52" i="3"/>
  <c r="BS52" i="3"/>
  <c r="BI51" i="3"/>
  <c r="D53" i="3"/>
  <c r="X53" i="3"/>
  <c r="B53" i="3"/>
  <c r="AF53" i="3"/>
  <c r="AP53" i="3"/>
  <c r="AA53" i="3"/>
  <c r="AL53" i="3"/>
  <c r="A54" i="3"/>
  <c r="Q54" i="12" s="1"/>
  <c r="AN53" i="3"/>
  <c r="W53" i="3"/>
  <c r="K53" i="3"/>
  <c r="V53" i="3"/>
  <c r="AE53" i="3"/>
  <c r="BB53" i="3" s="1"/>
  <c r="Z53" i="3"/>
  <c r="Q53" i="3"/>
  <c r="AQ53" i="3"/>
  <c r="U53" i="3"/>
  <c r="P53" i="3"/>
  <c r="C53" i="3"/>
  <c r="R53" i="3"/>
  <c r="AK53" i="3"/>
  <c r="AH53" i="3" s="1"/>
  <c r="AX53" i="3"/>
  <c r="AS53" i="3"/>
  <c r="J53" i="3"/>
  <c r="T53" i="3"/>
  <c r="Y53" i="3"/>
  <c r="AB53" i="3"/>
  <c r="AD53" i="3"/>
  <c r="I53" i="3"/>
  <c r="G53" i="3" s="1"/>
  <c r="E53" i="3"/>
  <c r="O53" i="3"/>
  <c r="AT53" i="3"/>
  <c r="AR53" i="3"/>
  <c r="L53" i="3"/>
  <c r="AV53" i="3"/>
  <c r="AG53" i="3"/>
  <c r="AO53" i="3"/>
  <c r="M53" i="3"/>
  <c r="H53" i="3"/>
  <c r="N53" i="3"/>
  <c r="AU53" i="3"/>
  <c r="F53" i="3"/>
  <c r="S53" i="3"/>
  <c r="BV51" i="3"/>
  <c r="BW51" i="3"/>
  <c r="BX51" i="3" s="1"/>
  <c r="CF51" i="3"/>
  <c r="CG51" i="3"/>
  <c r="CA51" i="3"/>
  <c r="AM53" i="3" l="1"/>
  <c r="BC52" i="3"/>
  <c r="BD52" i="3" s="1"/>
  <c r="BO52" i="3"/>
  <c r="BQ52" i="3" s="1"/>
  <c r="BR52" i="3" s="1"/>
  <c r="CA52" i="3"/>
  <c r="BA53" i="3"/>
  <c r="BH53" i="3"/>
  <c r="BP51" i="3"/>
  <c r="BT53" i="3"/>
  <c r="BN53" i="3"/>
  <c r="AW54" i="3"/>
  <c r="AM54" i="3" s="1"/>
  <c r="BU52" i="3"/>
  <c r="BV52" i="3" s="1"/>
  <c r="BM53" i="3"/>
  <c r="AY53" i="3"/>
  <c r="BS53" i="3"/>
  <c r="AC53" i="3"/>
  <c r="BY53" i="3" s="1"/>
  <c r="CA53" i="3" s="1"/>
  <c r="BG53" i="3"/>
  <c r="BI53" i="3" s="1"/>
  <c r="AI53" i="3"/>
  <c r="BE52" i="3"/>
  <c r="BF52" i="3" s="1"/>
  <c r="F54" i="3"/>
  <c r="AL54" i="3"/>
  <c r="T54" i="3"/>
  <c r="BK51" i="3"/>
  <c r="BL51" i="3" s="1"/>
  <c r="BJ51" i="3"/>
  <c r="BP52" i="3"/>
  <c r="AN54" i="3"/>
  <c r="H54" i="3"/>
  <c r="L54" i="3"/>
  <c r="I54" i="3"/>
  <c r="G54" i="3" s="1"/>
  <c r="O54" i="3"/>
  <c r="Y54" i="3"/>
  <c r="V54" i="3"/>
  <c r="U54" i="3"/>
  <c r="S54" i="3"/>
  <c r="AQ54" i="3"/>
  <c r="AT54" i="3"/>
  <c r="AA54" i="3"/>
  <c r="M54" i="3"/>
  <c r="D54" i="3"/>
  <c r="C54" i="3"/>
  <c r="A55" i="3"/>
  <c r="Q55" i="12" s="1"/>
  <c r="AP54" i="3"/>
  <c r="AR54" i="3"/>
  <c r="AX54" i="3"/>
  <c r="AU54" i="3"/>
  <c r="Q54" i="3"/>
  <c r="AK54" i="3"/>
  <c r="AH54" i="3" s="1"/>
  <c r="AO54" i="3"/>
  <c r="E54" i="3"/>
  <c r="AV54" i="3"/>
  <c r="B54" i="3"/>
  <c r="AF54" i="3"/>
  <c r="AG54" i="3"/>
  <c r="AD54" i="3"/>
  <c r="AB54" i="3"/>
  <c r="X54" i="3"/>
  <c r="W54" i="3"/>
  <c r="R54" i="3"/>
  <c r="AS54" i="3"/>
  <c r="AE54" i="3"/>
  <c r="J54" i="3"/>
  <c r="N54" i="3"/>
  <c r="K54" i="3"/>
  <c r="Z54" i="3"/>
  <c r="P54" i="3"/>
  <c r="CC51" i="3"/>
  <c r="CD51" i="3" s="1"/>
  <c r="CB51" i="3"/>
  <c r="BJ52" i="3"/>
  <c r="BK52" i="3"/>
  <c r="BL52" i="3" s="1"/>
  <c r="CC52" i="3"/>
  <c r="CD52" i="3" s="1"/>
  <c r="CB52" i="3"/>
  <c r="CF52" i="3"/>
  <c r="CG52" i="3"/>
  <c r="BC53" i="3"/>
  <c r="BO53" i="3" l="1"/>
  <c r="BB54" i="3"/>
  <c r="BW52" i="3"/>
  <c r="BX52" i="3" s="1"/>
  <c r="BU53" i="3"/>
  <c r="AY54" i="3"/>
  <c r="BT54" i="3"/>
  <c r="AC54" i="3"/>
  <c r="BY54" i="3" s="1"/>
  <c r="BH54" i="3"/>
  <c r="BZ54" i="3"/>
  <c r="CE53" i="3"/>
  <c r="CG53" i="3" s="1"/>
  <c r="BM54" i="3"/>
  <c r="BN54" i="3"/>
  <c r="AI54" i="3"/>
  <c r="BA54" i="3"/>
  <c r="BC54" i="3" s="1"/>
  <c r="AW55" i="3"/>
  <c r="AM55" i="3" s="1"/>
  <c r="BK53" i="3"/>
  <c r="BL53" i="3" s="1"/>
  <c r="BJ53" i="3"/>
  <c r="BQ53" i="3"/>
  <c r="BR53" i="3" s="1"/>
  <c r="BP53" i="3"/>
  <c r="BS54" i="3"/>
  <c r="BG54" i="3"/>
  <c r="AO55" i="3"/>
  <c r="AE55" i="3"/>
  <c r="AC55" i="3" s="1"/>
  <c r="AR55" i="3"/>
  <c r="F55" i="3"/>
  <c r="Y55" i="3"/>
  <c r="AX55" i="3"/>
  <c r="AP55" i="3"/>
  <c r="R55" i="3"/>
  <c r="AQ55" i="3"/>
  <c r="C55" i="3"/>
  <c r="P55" i="3"/>
  <c r="J55" i="3"/>
  <c r="AD55" i="3"/>
  <c r="AK55" i="3"/>
  <c r="AH55" i="3" s="1"/>
  <c r="W55" i="3"/>
  <c r="O55" i="3"/>
  <c r="D55" i="3"/>
  <c r="V55" i="3"/>
  <c r="H55" i="3"/>
  <c r="A56" i="3"/>
  <c r="Q56" i="12" s="1"/>
  <c r="AU55" i="3"/>
  <c r="L55" i="3"/>
  <c r="Q55" i="3"/>
  <c r="Z55" i="3"/>
  <c r="AN55" i="3"/>
  <c r="K55" i="3"/>
  <c r="X55" i="3"/>
  <c r="AB55" i="3"/>
  <c r="AL55" i="3"/>
  <c r="AA55" i="3"/>
  <c r="T55" i="3"/>
  <c r="E55" i="3"/>
  <c r="N55" i="3"/>
  <c r="AT55" i="3"/>
  <c r="AV55" i="3"/>
  <c r="AG55" i="3"/>
  <c r="AS55" i="3"/>
  <c r="I55" i="3"/>
  <c r="G55" i="3" s="1"/>
  <c r="AF55" i="3"/>
  <c r="M55" i="3"/>
  <c r="S55" i="3"/>
  <c r="U55" i="3"/>
  <c r="B55" i="3"/>
  <c r="BD53" i="3"/>
  <c r="BE53" i="3"/>
  <c r="BF53" i="3" s="1"/>
  <c r="CB53" i="3"/>
  <c r="CC53" i="3"/>
  <c r="CD53" i="3" s="1"/>
  <c r="CF53" i="3"/>
  <c r="BW53" i="3"/>
  <c r="BX53" i="3" s="1"/>
  <c r="BV53" i="3"/>
  <c r="BO54" i="3" l="1"/>
  <c r="BP54" i="3" s="1"/>
  <c r="BU54" i="3"/>
  <c r="BV54" i="3" s="1"/>
  <c r="BN55" i="3"/>
  <c r="CA54" i="3"/>
  <c r="AY55" i="3"/>
  <c r="CE54" i="3"/>
  <c r="BY55" i="3"/>
  <c r="BM55" i="3"/>
  <c r="BO55" i="3" s="1"/>
  <c r="BQ55" i="3" s="1"/>
  <c r="BR55" i="3" s="1"/>
  <c r="BT55" i="3"/>
  <c r="BZ55" i="3"/>
  <c r="BA55" i="3"/>
  <c r="BB55" i="3"/>
  <c r="BS55" i="3"/>
  <c r="BG55" i="3"/>
  <c r="BH55" i="3"/>
  <c r="AW56" i="3"/>
  <c r="AM56" i="3" s="1"/>
  <c r="AI55" i="3"/>
  <c r="BI54" i="3"/>
  <c r="W56" i="3"/>
  <c r="Q56" i="3"/>
  <c r="AR56" i="3"/>
  <c r="Z56" i="3"/>
  <c r="S56" i="3"/>
  <c r="AA56" i="3"/>
  <c r="AL56" i="3"/>
  <c r="AB56" i="3"/>
  <c r="AX56" i="3"/>
  <c r="AD56" i="3"/>
  <c r="K56" i="3"/>
  <c r="D56" i="3"/>
  <c r="H56" i="3"/>
  <c r="AU56" i="3"/>
  <c r="N56" i="3"/>
  <c r="L56" i="3"/>
  <c r="AK56" i="3"/>
  <c r="AH56" i="3" s="1"/>
  <c r="B56" i="3"/>
  <c r="F56" i="3"/>
  <c r="AF56" i="3"/>
  <c r="AT56" i="3"/>
  <c r="P56" i="3"/>
  <c r="I56" i="3"/>
  <c r="G56" i="3" s="1"/>
  <c r="V56" i="3"/>
  <c r="C56" i="3"/>
  <c r="E56" i="3"/>
  <c r="AV56" i="3"/>
  <c r="T56" i="3"/>
  <c r="AS56" i="3"/>
  <c r="AN56" i="3"/>
  <c r="J56" i="3"/>
  <c r="AQ56" i="3"/>
  <c r="O56" i="3"/>
  <c r="U56" i="3"/>
  <c r="M56" i="3"/>
  <c r="AP56" i="3"/>
  <c r="AE56" i="3"/>
  <c r="AC56" i="3" s="1"/>
  <c r="R56" i="3"/>
  <c r="X56" i="3"/>
  <c r="A57" i="3"/>
  <c r="Q57" i="12" s="1"/>
  <c r="Y56" i="3"/>
  <c r="AO56" i="3"/>
  <c r="AG56" i="3"/>
  <c r="BQ54" i="3"/>
  <c r="BR54" i="3" s="1"/>
  <c r="BG56" i="3"/>
  <c r="CB54" i="3"/>
  <c r="CC54" i="3"/>
  <c r="CD54" i="3" s="1"/>
  <c r="CE55" i="3"/>
  <c r="BD54" i="3"/>
  <c r="BE54" i="3"/>
  <c r="BF54" i="3" s="1"/>
  <c r="CF54" i="3"/>
  <c r="CG54" i="3"/>
  <c r="CA55" i="3" l="1"/>
  <c r="BW54" i="3"/>
  <c r="BX54" i="3" s="1"/>
  <c r="BU55" i="3"/>
  <c r="BC55" i="3"/>
  <c r="BE55" i="3" s="1"/>
  <c r="BF55" i="3" s="1"/>
  <c r="BS56" i="3"/>
  <c r="BP55" i="3"/>
  <c r="BZ56" i="3"/>
  <c r="BT56" i="3"/>
  <c r="BU56" i="3" s="1"/>
  <c r="BW56" i="3" s="1"/>
  <c r="BX56" i="3" s="1"/>
  <c r="BA56" i="3"/>
  <c r="BM56" i="3"/>
  <c r="BI55" i="3"/>
  <c r="BK55" i="3" s="1"/>
  <c r="BL55" i="3" s="1"/>
  <c r="BV55" i="3"/>
  <c r="BW55" i="3"/>
  <c r="BX55" i="3" s="1"/>
  <c r="BB56" i="3"/>
  <c r="BH56" i="3"/>
  <c r="BI56" i="3" s="1"/>
  <c r="BJ56" i="3" s="1"/>
  <c r="BN56" i="3"/>
  <c r="AW57" i="3"/>
  <c r="BZ57" i="3" s="1"/>
  <c r="R57" i="3"/>
  <c r="K57" i="3"/>
  <c r="AI56" i="3"/>
  <c r="BY56" i="3"/>
  <c r="BD55" i="3"/>
  <c r="O57" i="3"/>
  <c r="AK57" i="3"/>
  <c r="AH57" i="3" s="1"/>
  <c r="AI57" i="3" s="1"/>
  <c r="H57" i="3"/>
  <c r="AV57" i="3"/>
  <c r="F57" i="3"/>
  <c r="AR57" i="3"/>
  <c r="AB57" i="3"/>
  <c r="AA57" i="3"/>
  <c r="V57" i="3"/>
  <c r="AY56" i="3"/>
  <c r="CE56" i="3" s="1"/>
  <c r="Y57" i="3"/>
  <c r="BK54" i="3"/>
  <c r="BL54" i="3" s="1"/>
  <c r="BJ54" i="3"/>
  <c r="P57" i="3"/>
  <c r="E57" i="3"/>
  <c r="A58" i="3"/>
  <c r="Q58" i="12" s="1"/>
  <c r="B57" i="3"/>
  <c r="J57" i="3"/>
  <c r="I57" i="3"/>
  <c r="G57" i="3" s="1"/>
  <c r="C57" i="3"/>
  <c r="AP57" i="3"/>
  <c r="AQ57" i="3"/>
  <c r="U57" i="3"/>
  <c r="Z57" i="3"/>
  <c r="S57" i="3"/>
  <c r="W57" i="3"/>
  <c r="AG57" i="3"/>
  <c r="AU57" i="3"/>
  <c r="D57" i="3"/>
  <c r="Q57" i="3"/>
  <c r="X57" i="3"/>
  <c r="N57" i="3"/>
  <c r="AE57" i="3"/>
  <c r="AC57" i="3" s="1"/>
  <c r="BY57" i="3" s="1"/>
  <c r="AN57" i="3"/>
  <c r="L57" i="3"/>
  <c r="T57" i="3"/>
  <c r="AX57" i="3"/>
  <c r="AT57" i="3"/>
  <c r="AS57" i="3"/>
  <c r="AL57" i="3"/>
  <c r="AD57" i="3"/>
  <c r="AF57" i="3"/>
  <c r="AO57" i="3"/>
  <c r="M57" i="3"/>
  <c r="CB55" i="3"/>
  <c r="CC55" i="3"/>
  <c r="CD55" i="3" s="1"/>
  <c r="CG55" i="3"/>
  <c r="CF55" i="3"/>
  <c r="CA56" i="3" l="1"/>
  <c r="BC56" i="3"/>
  <c r="BO56" i="3"/>
  <c r="BQ56" i="3" s="1"/>
  <c r="BR56" i="3" s="1"/>
  <c r="BJ55" i="3"/>
  <c r="AY57" i="3"/>
  <c r="BA57" i="3"/>
  <c r="BT57" i="3"/>
  <c r="BN57" i="3"/>
  <c r="AM57" i="3"/>
  <c r="BB57" i="3"/>
  <c r="BH57" i="3"/>
  <c r="AW58" i="3"/>
  <c r="BZ58" i="3" s="1"/>
  <c r="S58" i="3"/>
  <c r="Q58" i="3"/>
  <c r="AD58" i="3"/>
  <c r="AT58" i="3"/>
  <c r="O58" i="3"/>
  <c r="AB58" i="3"/>
  <c r="V58" i="3"/>
  <c r="R58" i="3"/>
  <c r="AG58" i="3"/>
  <c r="P58" i="3"/>
  <c r="AS58" i="3"/>
  <c r="X58" i="3"/>
  <c r="E58" i="3"/>
  <c r="L58" i="3"/>
  <c r="AF58" i="3"/>
  <c r="AV58" i="3"/>
  <c r="AA58" i="3"/>
  <c r="AL58" i="3"/>
  <c r="J58" i="3"/>
  <c r="Z58" i="3"/>
  <c r="AQ58" i="3"/>
  <c r="Y58" i="3"/>
  <c r="I58" i="3"/>
  <c r="G58" i="3" s="1"/>
  <c r="AO58" i="3"/>
  <c r="AE58" i="3"/>
  <c r="BH58" i="3" s="1"/>
  <c r="AU58" i="3"/>
  <c r="M58" i="3"/>
  <c r="U58" i="3"/>
  <c r="AX58" i="3"/>
  <c r="AN58" i="3"/>
  <c r="B58" i="3"/>
  <c r="AP58" i="3"/>
  <c r="H58" i="3"/>
  <c r="A59" i="3"/>
  <c r="V59" i="3" s="1"/>
  <c r="F58" i="3"/>
  <c r="K58" i="3"/>
  <c r="W58" i="3"/>
  <c r="C58" i="3"/>
  <c r="AR58" i="3"/>
  <c r="BG57" i="3"/>
  <c r="BI57" i="3" s="1"/>
  <c r="BK57" i="3" s="1"/>
  <c r="BL57" i="3" s="1"/>
  <c r="BS57" i="3"/>
  <c r="BP56" i="3"/>
  <c r="N58" i="3"/>
  <c r="AK58" i="3"/>
  <c r="AH58" i="3" s="1"/>
  <c r="T58" i="3"/>
  <c r="D58" i="3"/>
  <c r="BM57" i="3"/>
  <c r="BK56" i="3"/>
  <c r="BL56" i="3" s="1"/>
  <c r="BV56" i="3"/>
  <c r="CE57" i="3"/>
  <c r="CA57" i="3"/>
  <c r="BE56" i="3"/>
  <c r="BF56" i="3" s="1"/>
  <c r="BD56" i="3"/>
  <c r="CC56" i="3"/>
  <c r="CD56" i="3" s="1"/>
  <c r="CB56" i="3"/>
  <c r="CF56" i="3"/>
  <c r="CG56" i="3"/>
  <c r="M59" i="3" l="1"/>
  <c r="AA59" i="3"/>
  <c r="W59" i="3"/>
  <c r="C59" i="3"/>
  <c r="AB59" i="3"/>
  <c r="AR59" i="3"/>
  <c r="E59" i="3"/>
  <c r="O59" i="3"/>
  <c r="A60" i="3"/>
  <c r="Q60" i="12" s="1"/>
  <c r="T59" i="3"/>
  <c r="AV59" i="3"/>
  <c r="AU59" i="3"/>
  <c r="AP59" i="3"/>
  <c r="S59" i="3"/>
  <c r="AN59" i="3"/>
  <c r="AM58" i="3"/>
  <c r="AL59" i="3"/>
  <c r="Y59" i="3"/>
  <c r="Q59" i="12"/>
  <c r="BG58" i="3"/>
  <c r="K59" i="3"/>
  <c r="BA58" i="3"/>
  <c r="BS58" i="3"/>
  <c r="AI58" i="3"/>
  <c r="BT58" i="3"/>
  <c r="BU58" i="3" s="1"/>
  <c r="BM58" i="3"/>
  <c r="AC58" i="3"/>
  <c r="BY58" i="3" s="1"/>
  <c r="CA58" i="3" s="1"/>
  <c r="BN58" i="3"/>
  <c r="BB58" i="3"/>
  <c r="Z59" i="3"/>
  <c r="AK59" i="3"/>
  <c r="AH59" i="3" s="1"/>
  <c r="AI59" i="3" s="1"/>
  <c r="R59" i="3"/>
  <c r="I59" i="3"/>
  <c r="G59" i="3" s="1"/>
  <c r="AF59" i="3"/>
  <c r="J59" i="3"/>
  <c r="AX59" i="3"/>
  <c r="X59" i="3"/>
  <c r="H59" i="3"/>
  <c r="AT59" i="3"/>
  <c r="B59" i="3"/>
  <c r="AQ59" i="3"/>
  <c r="U59" i="3"/>
  <c r="AE59" i="3"/>
  <c r="BA59" i="3" s="1"/>
  <c r="AG59" i="3"/>
  <c r="F59" i="3"/>
  <c r="N59" i="3"/>
  <c r="AW59" i="3"/>
  <c r="AM59" i="3" s="1"/>
  <c r="D59" i="3"/>
  <c r="BO57" i="3"/>
  <c r="BQ57" i="3" s="1"/>
  <c r="BR57" i="3" s="1"/>
  <c r="BI58" i="3"/>
  <c r="L59" i="3"/>
  <c r="AS59" i="3"/>
  <c r="P59" i="3"/>
  <c r="AD59" i="3"/>
  <c r="Q59" i="3"/>
  <c r="AO59" i="3"/>
  <c r="BJ57" i="3"/>
  <c r="BU57" i="3"/>
  <c r="BC57" i="3"/>
  <c r="AY58" i="3"/>
  <c r="CC57" i="3"/>
  <c r="CD57" i="3" s="1"/>
  <c r="CB57" i="3"/>
  <c r="CG57" i="3"/>
  <c r="CF57" i="3"/>
  <c r="AF60" i="3"/>
  <c r="AQ60" i="3"/>
  <c r="AV60" i="3"/>
  <c r="BK7" i="3"/>
  <c r="BL7" i="3" s="1"/>
  <c r="BE8" i="3"/>
  <c r="BF8" i="3" s="1"/>
  <c r="CG8" i="3"/>
  <c r="CG7" i="3"/>
  <c r="BW8" i="3"/>
  <c r="BX8" i="3" s="1"/>
  <c r="BQ7" i="3"/>
  <c r="BE7" i="3"/>
  <c r="BQ8" i="3"/>
  <c r="BR8" i="3" s="1"/>
  <c r="BW7" i="3"/>
  <c r="BK8" i="3"/>
  <c r="BL8" i="3" s="1"/>
  <c r="O60" i="3" l="1"/>
  <c r="AU60" i="3"/>
  <c r="U60" i="3"/>
  <c r="A61" i="3"/>
  <c r="Q61" i="12" s="1"/>
  <c r="F60" i="3"/>
  <c r="B60" i="3"/>
  <c r="S60" i="3"/>
  <c r="K60" i="3"/>
  <c r="J60" i="3"/>
  <c r="AX60" i="3"/>
  <c r="H60" i="3"/>
  <c r="Q60" i="3"/>
  <c r="Z60" i="3"/>
  <c r="AK60" i="3"/>
  <c r="AH60" i="3" s="1"/>
  <c r="AD60" i="3"/>
  <c r="Y60" i="3"/>
  <c r="AL60" i="3"/>
  <c r="AB60" i="3"/>
  <c r="E60" i="3"/>
  <c r="AR60" i="3"/>
  <c r="W60" i="3"/>
  <c r="AA60" i="3"/>
  <c r="V60" i="3"/>
  <c r="X60" i="3"/>
  <c r="AE60" i="3"/>
  <c r="AW60" i="3"/>
  <c r="AM60" i="3" s="1"/>
  <c r="AN60" i="3"/>
  <c r="C60" i="3"/>
  <c r="I60" i="3"/>
  <c r="G60" i="3" s="1"/>
  <c r="P60" i="3"/>
  <c r="L60" i="3"/>
  <c r="M60" i="3"/>
  <c r="AG60" i="3"/>
  <c r="R60" i="3"/>
  <c r="BM60" i="3"/>
  <c r="D60" i="3"/>
  <c r="AP60" i="3"/>
  <c r="T60" i="3"/>
  <c r="AO60" i="3"/>
  <c r="AS60" i="3"/>
  <c r="N60" i="3"/>
  <c r="AT60" i="3"/>
  <c r="BS59" i="3"/>
  <c r="CE58" i="3"/>
  <c r="BP57" i="3"/>
  <c r="BO58" i="3"/>
  <c r="BQ58" i="3" s="1"/>
  <c r="BR58" i="3" s="1"/>
  <c r="BC58" i="3"/>
  <c r="BD58" i="3" s="1"/>
  <c r="BM59" i="3"/>
  <c r="BZ59" i="3"/>
  <c r="BT60" i="3"/>
  <c r="BT59" i="3"/>
  <c r="BU59" i="3" s="1"/>
  <c r="AC59" i="3"/>
  <c r="BY59" i="3" s="1"/>
  <c r="BN59" i="3"/>
  <c r="BH60" i="3"/>
  <c r="BH59" i="3"/>
  <c r="BB59" i="3"/>
  <c r="BC59" i="3" s="1"/>
  <c r="BE59" i="3" s="1"/>
  <c r="BF59" i="3" s="1"/>
  <c r="BN60" i="3"/>
  <c r="BO60" i="3" s="1"/>
  <c r="BB60" i="3"/>
  <c r="AY59" i="3"/>
  <c r="CE59" i="3" s="1"/>
  <c r="BZ60" i="3"/>
  <c r="BG59" i="3"/>
  <c r="BA60" i="3"/>
  <c r="AW61" i="3"/>
  <c r="AM61" i="3" s="1"/>
  <c r="BV58" i="3"/>
  <c r="BW58" i="3"/>
  <c r="BX58" i="3" s="1"/>
  <c r="BP58" i="3"/>
  <c r="BE57" i="3"/>
  <c r="BF57" i="3" s="1"/>
  <c r="BD57" i="3"/>
  <c r="BW57" i="3"/>
  <c r="BX57" i="3" s="1"/>
  <c r="BV57" i="3"/>
  <c r="BS60" i="3"/>
  <c r="AI60" i="3"/>
  <c r="CG58" i="3"/>
  <c r="CF58" i="3"/>
  <c r="AY60" i="3"/>
  <c r="BK58" i="3"/>
  <c r="BL58" i="3" s="1"/>
  <c r="BJ58" i="3"/>
  <c r="BG60" i="3"/>
  <c r="AC60" i="3"/>
  <c r="BY60" i="3" s="1"/>
  <c r="CC58" i="3"/>
  <c r="CD58" i="3" s="1"/>
  <c r="CB58" i="3"/>
  <c r="T61" i="3"/>
  <c r="AQ61" i="3"/>
  <c r="F61" i="3"/>
  <c r="A62" i="3"/>
  <c r="Q62" i="12" s="1"/>
  <c r="U61" i="3"/>
  <c r="S61" i="3"/>
  <c r="L61" i="3"/>
  <c r="Z61" i="3"/>
  <c r="AP61" i="3"/>
  <c r="AV61" i="3"/>
  <c r="AX61" i="3"/>
  <c r="N61" i="3"/>
  <c r="AL61" i="3"/>
  <c r="D61" i="3"/>
  <c r="R61" i="3"/>
  <c r="AG61" i="3"/>
  <c r="AR61" i="3"/>
  <c r="AN61" i="3"/>
  <c r="J61" i="3"/>
  <c r="Y61" i="3"/>
  <c r="AO61" i="3"/>
  <c r="M61" i="3"/>
  <c r="W61" i="3"/>
  <c r="H61" i="3"/>
  <c r="B61" i="3"/>
  <c r="Q61" i="3"/>
  <c r="AF61" i="3"/>
  <c r="AU61" i="3"/>
  <c r="C61" i="3"/>
  <c r="O61" i="3"/>
  <c r="AK61" i="3"/>
  <c r="AH61" i="3" s="1"/>
  <c r="P61" i="3"/>
  <c r="AE61" i="3"/>
  <c r="AB61" i="3"/>
  <c r="K61" i="3"/>
  <c r="AS61" i="3"/>
  <c r="I61" i="3"/>
  <c r="G61" i="3" s="1"/>
  <c r="X61" i="3"/>
  <c r="AD61" i="3"/>
  <c r="AT61" i="3"/>
  <c r="V61" i="3"/>
  <c r="AA61" i="3"/>
  <c r="E61" i="3"/>
  <c r="BF7" i="3"/>
  <c r="BR7" i="3"/>
  <c r="BX7" i="3"/>
  <c r="BE58" i="3" l="1"/>
  <c r="BF58" i="3" s="1"/>
  <c r="BI59" i="3"/>
  <c r="CA59" i="3"/>
  <c r="CB59" i="3" s="1"/>
  <c r="BA61" i="3"/>
  <c r="BO59" i="3"/>
  <c r="BK59" i="3"/>
  <c r="BL59" i="3" s="1"/>
  <c r="BJ59" i="3"/>
  <c r="BW59" i="3"/>
  <c r="BX59" i="3" s="1"/>
  <c r="BV59" i="3"/>
  <c r="BZ61" i="3"/>
  <c r="BB61" i="3"/>
  <c r="BH61" i="3"/>
  <c r="BN61" i="3"/>
  <c r="BT61" i="3"/>
  <c r="AW62" i="3"/>
  <c r="AM62" i="3" s="1"/>
  <c r="BU60" i="3"/>
  <c r="BV60" i="3" s="1"/>
  <c r="BC60" i="3"/>
  <c r="BD60" i="3" s="1"/>
  <c r="BG61" i="3"/>
  <c r="BD59" i="3"/>
  <c r="AC61" i="3"/>
  <c r="BY61" i="3" s="1"/>
  <c r="AY61" i="3"/>
  <c r="BQ60" i="3"/>
  <c r="BR60" i="3" s="1"/>
  <c r="BP60" i="3"/>
  <c r="AI61" i="3"/>
  <c r="BS61" i="3"/>
  <c r="CF59" i="3"/>
  <c r="CG59" i="3"/>
  <c r="BI60" i="3"/>
  <c r="BM61" i="3"/>
  <c r="CA60" i="3"/>
  <c r="CE60" i="3"/>
  <c r="BQ59" i="3"/>
  <c r="BR59" i="3" s="1"/>
  <c r="BP59" i="3"/>
  <c r="P62" i="3"/>
  <c r="AD62" i="3"/>
  <c r="L62" i="3"/>
  <c r="AX62" i="3"/>
  <c r="AG62" i="3"/>
  <c r="Q62" i="3"/>
  <c r="A63" i="3"/>
  <c r="Q63" i="12" s="1"/>
  <c r="J62" i="3"/>
  <c r="H62" i="3"/>
  <c r="V62" i="3"/>
  <c r="AT62" i="3"/>
  <c r="D62" i="3"/>
  <c r="AQ62" i="3"/>
  <c r="K62" i="3"/>
  <c r="AN62" i="3"/>
  <c r="I62" i="3"/>
  <c r="G62" i="3" s="1"/>
  <c r="N62" i="3"/>
  <c r="AL62" i="3"/>
  <c r="Z62" i="3"/>
  <c r="AR62" i="3"/>
  <c r="S62" i="3"/>
  <c r="C62" i="3"/>
  <c r="F62" i="3"/>
  <c r="R62" i="3"/>
  <c r="AE62" i="3"/>
  <c r="Y62" i="3"/>
  <c r="AS62" i="3"/>
  <c r="AU62" i="3"/>
  <c r="T62" i="3"/>
  <c r="AA62" i="3"/>
  <c r="U62" i="3"/>
  <c r="AO62" i="3"/>
  <c r="M62" i="3"/>
  <c r="AK62" i="3"/>
  <c r="AH62" i="3" s="1"/>
  <c r="B62" i="3"/>
  <c r="O62" i="3"/>
  <c r="AF62" i="3"/>
  <c r="E62" i="3"/>
  <c r="AB62" i="3"/>
  <c r="AV62" i="3"/>
  <c r="AP62" i="3"/>
  <c r="X62" i="3"/>
  <c r="W62" i="3"/>
  <c r="CG9" i="3"/>
  <c r="BQ9" i="3"/>
  <c r="BK9" i="3"/>
  <c r="BW9" i="3"/>
  <c r="BE9" i="3"/>
  <c r="BW60" i="3" l="1"/>
  <c r="BX60" i="3" s="1"/>
  <c r="AI62" i="3"/>
  <c r="CC59" i="3"/>
  <c r="CD59" i="3" s="1"/>
  <c r="BE60" i="3"/>
  <c r="BF60" i="3" s="1"/>
  <c r="BT62" i="3"/>
  <c r="BA62" i="3"/>
  <c r="BZ62" i="3"/>
  <c r="BH62" i="3"/>
  <c r="BB62" i="3"/>
  <c r="BN62" i="3"/>
  <c r="AW63" i="3"/>
  <c r="AM63" i="3" s="1"/>
  <c r="BI61" i="3"/>
  <c r="BJ61" i="3" s="1"/>
  <c r="BU61" i="3"/>
  <c r="BV61" i="3" s="1"/>
  <c r="BS62" i="3"/>
  <c r="BO61" i="3"/>
  <c r="BQ61" i="3" s="1"/>
  <c r="BR61" i="3" s="1"/>
  <c r="BC61" i="3"/>
  <c r="BE61" i="3" s="1"/>
  <c r="BF61" i="3" s="1"/>
  <c r="CE61" i="3"/>
  <c r="CF61" i="3" s="1"/>
  <c r="CA61" i="3"/>
  <c r="CB61" i="3" s="1"/>
  <c r="AC62" i="3"/>
  <c r="BY62" i="3" s="1"/>
  <c r="BG62" i="3"/>
  <c r="BM62" i="3"/>
  <c r="CF60" i="3"/>
  <c r="CG60" i="3"/>
  <c r="AY62" i="3"/>
  <c r="CB60" i="3"/>
  <c r="CC60" i="3"/>
  <c r="CD60" i="3" s="1"/>
  <c r="BJ60" i="3"/>
  <c r="BK60" i="3"/>
  <c r="BL60" i="3" s="1"/>
  <c r="T63" i="3"/>
  <c r="AR63" i="3"/>
  <c r="I63" i="3"/>
  <c r="G63" i="3" s="1"/>
  <c r="X63" i="3"/>
  <c r="AN63" i="3"/>
  <c r="A64" i="3"/>
  <c r="Q64" i="12" s="1"/>
  <c r="E63" i="3"/>
  <c r="AF63" i="3"/>
  <c r="AL63" i="3"/>
  <c r="L63" i="3"/>
  <c r="P63" i="3"/>
  <c r="AE63" i="3"/>
  <c r="AU63" i="3"/>
  <c r="D63" i="3"/>
  <c r="AA63" i="3"/>
  <c r="AX63" i="3"/>
  <c r="H63" i="3"/>
  <c r="W63" i="3"/>
  <c r="AD63" i="3"/>
  <c r="Q63" i="3"/>
  <c r="S63" i="3"/>
  <c r="AQ63" i="3"/>
  <c r="O63" i="3"/>
  <c r="V63" i="3"/>
  <c r="U63" i="3"/>
  <c r="K63" i="3"/>
  <c r="Z63" i="3"/>
  <c r="AP63" i="3"/>
  <c r="N63" i="3"/>
  <c r="AS63" i="3"/>
  <c r="C63" i="3"/>
  <c r="R63" i="3"/>
  <c r="AG63" i="3"/>
  <c r="F63" i="3"/>
  <c r="M63" i="3"/>
  <c r="AB63" i="3"/>
  <c r="AK63" i="3"/>
  <c r="AH63" i="3" s="1"/>
  <c r="J63" i="3"/>
  <c r="Y63" i="3"/>
  <c r="AO63" i="3"/>
  <c r="AT63" i="3"/>
  <c r="B63" i="3"/>
  <c r="AV63" i="3"/>
  <c r="BF9" i="3"/>
  <c r="BL9" i="3"/>
  <c r="BX9" i="3"/>
  <c r="BR9" i="3"/>
  <c r="BE10" i="3"/>
  <c r="BF10" i="3" s="1"/>
  <c r="BU62" i="3" l="1"/>
  <c r="BT63" i="3"/>
  <c r="BN63" i="3"/>
  <c r="BD61" i="3"/>
  <c r="BW61" i="3"/>
  <c r="BX61" i="3" s="1"/>
  <c r="BB63" i="3"/>
  <c r="BP61" i="3"/>
  <c r="BH63" i="3"/>
  <c r="BK61" i="3"/>
  <c r="BL61" i="3" s="1"/>
  <c r="BA63" i="3"/>
  <c r="BZ63" i="3"/>
  <c r="AW64" i="3"/>
  <c r="AM64" i="3" s="1"/>
  <c r="BC62" i="3"/>
  <c r="BD62" i="3" s="1"/>
  <c r="CG61" i="3"/>
  <c r="CC61" i="3"/>
  <c r="CD61" i="3" s="1"/>
  <c r="BM63" i="3"/>
  <c r="BO63" i="3" s="1"/>
  <c r="BI62" i="3"/>
  <c r="BJ62" i="3" s="1"/>
  <c r="BG63" i="3"/>
  <c r="AY63" i="3"/>
  <c r="BW62" i="3"/>
  <c r="BX62" i="3" s="1"/>
  <c r="BV62" i="3"/>
  <c r="AI63" i="3"/>
  <c r="BS63" i="3"/>
  <c r="BO62" i="3"/>
  <c r="BQ62" i="3" s="1"/>
  <c r="BR62" i="3" s="1"/>
  <c r="AC63" i="3"/>
  <c r="BY63" i="3" s="1"/>
  <c r="CE62" i="3"/>
  <c r="CA62" i="3"/>
  <c r="X64" i="3"/>
  <c r="AN64" i="3"/>
  <c r="E64" i="3"/>
  <c r="AB64" i="3"/>
  <c r="B64" i="3"/>
  <c r="AP64" i="3"/>
  <c r="M64" i="3"/>
  <c r="P64" i="3"/>
  <c r="AE64" i="3"/>
  <c r="BN64" i="3" s="1"/>
  <c r="AU64" i="3"/>
  <c r="T64" i="3"/>
  <c r="AR64" i="3"/>
  <c r="AG64" i="3"/>
  <c r="H64" i="3"/>
  <c r="W64" i="3"/>
  <c r="AD64" i="3"/>
  <c r="L64" i="3"/>
  <c r="Y64" i="3"/>
  <c r="AF64" i="3"/>
  <c r="O64" i="3"/>
  <c r="V64" i="3"/>
  <c r="BA64" i="3" s="1"/>
  <c r="AT64" i="3"/>
  <c r="D64" i="3"/>
  <c r="AA64" i="3"/>
  <c r="AX64" i="3"/>
  <c r="J64" i="3"/>
  <c r="N64" i="3"/>
  <c r="AL64" i="3"/>
  <c r="S64" i="3"/>
  <c r="AQ64" i="3"/>
  <c r="Q64" i="3"/>
  <c r="AK64" i="3"/>
  <c r="AH64" i="3" s="1"/>
  <c r="F64" i="3"/>
  <c r="K64" i="3"/>
  <c r="Z64" i="3"/>
  <c r="AV64" i="3"/>
  <c r="AO64" i="3"/>
  <c r="A65" i="3"/>
  <c r="Q65" i="12" s="1"/>
  <c r="U64" i="3"/>
  <c r="AS64" i="3"/>
  <c r="C64" i="3"/>
  <c r="R64" i="3"/>
  <c r="I64" i="3"/>
  <c r="G64" i="3" s="1"/>
  <c r="BW10" i="3"/>
  <c r="CG10" i="3"/>
  <c r="BQ10" i="3"/>
  <c r="BK10" i="3"/>
  <c r="BE62" i="3" l="1"/>
  <c r="BF62" i="3" s="1"/>
  <c r="BZ64" i="3"/>
  <c r="BT64" i="3"/>
  <c r="BB64" i="3"/>
  <c r="BH64" i="3"/>
  <c r="AW65" i="3"/>
  <c r="AM65" i="3" s="1"/>
  <c r="BI63" i="3"/>
  <c r="BJ63" i="3" s="1"/>
  <c r="BK62" i="3"/>
  <c r="BL62" i="3" s="1"/>
  <c r="BC63" i="3"/>
  <c r="BE63" i="3" s="1"/>
  <c r="BF63" i="3" s="1"/>
  <c r="BU63" i="3"/>
  <c r="BV63" i="3" s="1"/>
  <c r="BP62" i="3"/>
  <c r="CE63" i="3"/>
  <c r="CG63" i="3" s="1"/>
  <c r="BS64" i="3"/>
  <c r="BM64" i="3"/>
  <c r="AC64" i="3"/>
  <c r="BY64" i="3" s="1"/>
  <c r="AI64" i="3"/>
  <c r="BG64" i="3"/>
  <c r="BP63" i="3"/>
  <c r="BQ63" i="3"/>
  <c r="BR63" i="3" s="1"/>
  <c r="CB62" i="3"/>
  <c r="CC62" i="3"/>
  <c r="CD62" i="3" s="1"/>
  <c r="CG62" i="3"/>
  <c r="CF62" i="3"/>
  <c r="AY64" i="3"/>
  <c r="CA63" i="3"/>
  <c r="AB65" i="3"/>
  <c r="B65" i="3"/>
  <c r="Q65" i="3"/>
  <c r="AF65" i="3"/>
  <c r="AV65" i="3"/>
  <c r="AT65" i="3"/>
  <c r="T65" i="3"/>
  <c r="AR65" i="3"/>
  <c r="I65" i="3"/>
  <c r="G65" i="3" s="1"/>
  <c r="X65" i="3"/>
  <c r="AN65" i="3"/>
  <c r="AL65" i="3"/>
  <c r="M65" i="3"/>
  <c r="L65" i="3"/>
  <c r="P65" i="3"/>
  <c r="AE65" i="3"/>
  <c r="AU65" i="3"/>
  <c r="A66" i="3"/>
  <c r="Q66" i="12" s="1"/>
  <c r="Y65" i="3"/>
  <c r="D65" i="3"/>
  <c r="AA65" i="3"/>
  <c r="AX65" i="3"/>
  <c r="H65" i="3"/>
  <c r="W65" i="3"/>
  <c r="AD65" i="3"/>
  <c r="AO65" i="3"/>
  <c r="S65" i="3"/>
  <c r="AQ65" i="3"/>
  <c r="O65" i="3"/>
  <c r="V65" i="3"/>
  <c r="E65" i="3"/>
  <c r="K65" i="3"/>
  <c r="Z65" i="3"/>
  <c r="AP65" i="3"/>
  <c r="N65" i="3"/>
  <c r="U65" i="3"/>
  <c r="AK65" i="3"/>
  <c r="AH65" i="3" s="1"/>
  <c r="AS65" i="3"/>
  <c r="C65" i="3"/>
  <c r="R65" i="3"/>
  <c r="AG65" i="3"/>
  <c r="F65" i="3"/>
  <c r="J65" i="3"/>
  <c r="BR10" i="3"/>
  <c r="BL10" i="3"/>
  <c r="BX10" i="3"/>
  <c r="CA3" i="3"/>
  <c r="CC3" i="3" s="1"/>
  <c r="CD3" i="3" s="1"/>
  <c r="BB65" i="3" l="1"/>
  <c r="BC65" i="3" s="1"/>
  <c r="BT65" i="3"/>
  <c r="BA65" i="3"/>
  <c r="BH65" i="3"/>
  <c r="BK63" i="3"/>
  <c r="BL63" i="3" s="1"/>
  <c r="BN65" i="3"/>
  <c r="BD63" i="3"/>
  <c r="BZ65" i="3"/>
  <c r="AW66" i="3"/>
  <c r="BZ66" i="3" s="1"/>
  <c r="BW63" i="3"/>
  <c r="BX63" i="3" s="1"/>
  <c r="CF63" i="3"/>
  <c r="BC64" i="3"/>
  <c r="BE64" i="3" s="1"/>
  <c r="BF64" i="3" s="1"/>
  <c r="AC65" i="3"/>
  <c r="BY65" i="3" s="1"/>
  <c r="BU64" i="3"/>
  <c r="BV64" i="3" s="1"/>
  <c r="BI64" i="3"/>
  <c r="BK64" i="3" s="1"/>
  <c r="BL64" i="3" s="1"/>
  <c r="BG65" i="3"/>
  <c r="BO64" i="3"/>
  <c r="AI65" i="3"/>
  <c r="BS65" i="3"/>
  <c r="CC63" i="3"/>
  <c r="CD63" i="3" s="1"/>
  <c r="CB63" i="3"/>
  <c r="BM65" i="3"/>
  <c r="AY65" i="3"/>
  <c r="CE64" i="3"/>
  <c r="CA64" i="3"/>
  <c r="P66" i="3"/>
  <c r="AE66" i="3"/>
  <c r="AC66" i="3" s="1"/>
  <c r="AU66" i="3"/>
  <c r="T66" i="3"/>
  <c r="AR66" i="3"/>
  <c r="AG66" i="3"/>
  <c r="AP66" i="3"/>
  <c r="E66" i="3"/>
  <c r="B66" i="3"/>
  <c r="H66" i="3"/>
  <c r="W66" i="3"/>
  <c r="AD66" i="3"/>
  <c r="L66" i="3"/>
  <c r="X66" i="3"/>
  <c r="AB66" i="3"/>
  <c r="O66" i="3"/>
  <c r="V66" i="3"/>
  <c r="AT66" i="3"/>
  <c r="D66" i="3"/>
  <c r="AA66" i="3"/>
  <c r="AX66" i="3"/>
  <c r="Y66" i="3"/>
  <c r="N66" i="3"/>
  <c r="AL66" i="3"/>
  <c r="S66" i="3"/>
  <c r="AQ66" i="3"/>
  <c r="F66" i="3"/>
  <c r="K66" i="3"/>
  <c r="Z66" i="3"/>
  <c r="Q66" i="3"/>
  <c r="AN66" i="3"/>
  <c r="AO66" i="3"/>
  <c r="A67" i="3"/>
  <c r="Q67" i="12" s="1"/>
  <c r="U66" i="3"/>
  <c r="AS66" i="3"/>
  <c r="C66" i="3"/>
  <c r="R66" i="3"/>
  <c r="AF66" i="3"/>
  <c r="AV66" i="3"/>
  <c r="M66" i="3"/>
  <c r="AK66" i="3"/>
  <c r="AH66" i="3" s="1"/>
  <c r="J66" i="3"/>
  <c r="I66" i="3"/>
  <c r="G66" i="3" s="1"/>
  <c r="CB3" i="3"/>
  <c r="CA39" i="3"/>
  <c r="CB39" i="3" s="1"/>
  <c r="CA11" i="3"/>
  <c r="CB11" i="3" s="1"/>
  <c r="CA17" i="3"/>
  <c r="CC17" i="3" s="1"/>
  <c r="CD17" i="3" s="1"/>
  <c r="CA18" i="3"/>
  <c r="CB18" i="3" s="1"/>
  <c r="CA30" i="3"/>
  <c r="CB30" i="3" s="1"/>
  <c r="CA21" i="3"/>
  <c r="CB21" i="3" s="1"/>
  <c r="CA14" i="3"/>
  <c r="CC14" i="3" s="1"/>
  <c r="CD14" i="3" s="1"/>
  <c r="CA25" i="3"/>
  <c r="CC25" i="3" s="1"/>
  <c r="CD25" i="3" s="1"/>
  <c r="CA15" i="3"/>
  <c r="CC15" i="3" s="1"/>
  <c r="CD15" i="3" s="1"/>
  <c r="CA26" i="3"/>
  <c r="CC26" i="3" s="1"/>
  <c r="CD26" i="3" s="1"/>
  <c r="CA20" i="3"/>
  <c r="CB20" i="3" s="1"/>
  <c r="CA34" i="3"/>
  <c r="CB34" i="3" s="1"/>
  <c r="CA36" i="3"/>
  <c r="CC36" i="3" s="1"/>
  <c r="CD36" i="3" s="1"/>
  <c r="CA27" i="3"/>
  <c r="CC27" i="3" s="1"/>
  <c r="CD27" i="3" s="1"/>
  <c r="CA37" i="3"/>
  <c r="CB37" i="3" s="1"/>
  <c r="CA13" i="3"/>
  <c r="CB13" i="3" s="1"/>
  <c r="CA9" i="3"/>
  <c r="CC9" i="3" s="1"/>
  <c r="CD9" i="3" s="1"/>
  <c r="CA5" i="3"/>
  <c r="CC5" i="3" s="1"/>
  <c r="CD5" i="3" s="1"/>
  <c r="CA35" i="3"/>
  <c r="CB35" i="3" s="1"/>
  <c r="CA38" i="3"/>
  <c r="CC38" i="3" s="1"/>
  <c r="CD38" i="3" s="1"/>
  <c r="CA16" i="3"/>
  <c r="CB16" i="3" s="1"/>
  <c r="CA6" i="3"/>
  <c r="CC6" i="3" s="1"/>
  <c r="CD6" i="3" s="1"/>
  <c r="CA42" i="3"/>
  <c r="CC42" i="3" s="1"/>
  <c r="CD42" i="3" s="1"/>
  <c r="CA23" i="3"/>
  <c r="CC23" i="3" s="1"/>
  <c r="CD23" i="3" s="1"/>
  <c r="CA10" i="3"/>
  <c r="CC10" i="3" s="1"/>
  <c r="CD10" i="3" s="1"/>
  <c r="CA8" i="3"/>
  <c r="CC8" i="3" s="1"/>
  <c r="CD8" i="3" s="1"/>
  <c r="CA40" i="3"/>
  <c r="CC40" i="3" s="1"/>
  <c r="CD40" i="3" s="1"/>
  <c r="CA22" i="3"/>
  <c r="CC22" i="3" s="1"/>
  <c r="CD22" i="3" s="1"/>
  <c r="CA12" i="3"/>
  <c r="CB12" i="3" s="1"/>
  <c r="CA4" i="3"/>
  <c r="CC4" i="3" s="1"/>
  <c r="CA7" i="3"/>
  <c r="CC7" i="3" s="1"/>
  <c r="CD7" i="3" s="1"/>
  <c r="CA32" i="3"/>
  <c r="CC32" i="3" s="1"/>
  <c r="CD32" i="3" s="1"/>
  <c r="CA19" i="3"/>
  <c r="CC19" i="3" s="1"/>
  <c r="CD19" i="3" s="1"/>
  <c r="CA29" i="3"/>
  <c r="CC29" i="3" s="1"/>
  <c r="CD29" i="3" s="1"/>
  <c r="CA31" i="3"/>
  <c r="CC31" i="3" s="1"/>
  <c r="CD31" i="3" s="1"/>
  <c r="CA24" i="3"/>
  <c r="CC24" i="3" s="1"/>
  <c r="CD24" i="3" s="1"/>
  <c r="CA28" i="3"/>
  <c r="CC28" i="3" s="1"/>
  <c r="CD28" i="3" s="1"/>
  <c r="CA33" i="3"/>
  <c r="CC33" i="3" s="1"/>
  <c r="CD33" i="3" s="1"/>
  <c r="CA41" i="3"/>
  <c r="CC41" i="3" s="1"/>
  <c r="CD41" i="3" s="1"/>
  <c r="AM66" i="3" l="1"/>
  <c r="BW64" i="3"/>
  <c r="BX64" i="3" s="1"/>
  <c r="BD64" i="3"/>
  <c r="BA66" i="3"/>
  <c r="BB66" i="3"/>
  <c r="BH66" i="3"/>
  <c r="BN66" i="3"/>
  <c r="BT66" i="3"/>
  <c r="AW67" i="3"/>
  <c r="AM67" i="3" s="1"/>
  <c r="BJ64" i="3"/>
  <c r="BI65" i="3"/>
  <c r="BK65" i="3" s="1"/>
  <c r="BL65" i="3" s="1"/>
  <c r="BY66" i="3"/>
  <c r="BD65" i="3"/>
  <c r="BE65" i="3"/>
  <c r="BF65" i="3" s="1"/>
  <c r="BU65" i="3"/>
  <c r="BW65" i="3" s="1"/>
  <c r="BX65" i="3" s="1"/>
  <c r="BQ64" i="3"/>
  <c r="BR64" i="3" s="1"/>
  <c r="BP64" i="3"/>
  <c r="BM66" i="3"/>
  <c r="BO65" i="3"/>
  <c r="BQ65" i="3" s="1"/>
  <c r="BR65" i="3" s="1"/>
  <c r="AI66" i="3"/>
  <c r="BG66" i="3"/>
  <c r="AY66" i="3"/>
  <c r="BS66" i="3"/>
  <c r="CC64" i="3"/>
  <c r="CD64" i="3" s="1"/>
  <c r="CB64" i="3"/>
  <c r="CF64" i="3"/>
  <c r="CG64" i="3"/>
  <c r="CA65" i="3"/>
  <c r="CE65" i="3"/>
  <c r="K67" i="3"/>
  <c r="R67" i="3"/>
  <c r="Y67" i="3"/>
  <c r="AO67" i="3"/>
  <c r="F67" i="3"/>
  <c r="C67" i="3"/>
  <c r="J67" i="3"/>
  <c r="Q67" i="3"/>
  <c r="AF67" i="3"/>
  <c r="AV67" i="3"/>
  <c r="E67" i="3"/>
  <c r="U67" i="3"/>
  <c r="AG67" i="3"/>
  <c r="AS67" i="3"/>
  <c r="B67" i="3"/>
  <c r="I67" i="3"/>
  <c r="G67" i="3" s="1"/>
  <c r="X67" i="3"/>
  <c r="AN67" i="3"/>
  <c r="S67" i="3"/>
  <c r="AK67" i="3"/>
  <c r="AH67" i="3" s="1"/>
  <c r="A68" i="3"/>
  <c r="Q68" i="12" s="1"/>
  <c r="P67" i="3"/>
  <c r="AE67" i="3"/>
  <c r="AC67" i="3" s="1"/>
  <c r="AU67" i="3"/>
  <c r="AT67" i="3"/>
  <c r="AB67" i="3"/>
  <c r="AR67" i="3"/>
  <c r="H67" i="3"/>
  <c r="W67" i="3"/>
  <c r="AD67" i="3"/>
  <c r="AL67" i="3"/>
  <c r="Z67" i="3"/>
  <c r="T67" i="3"/>
  <c r="AX67" i="3"/>
  <c r="O67" i="3"/>
  <c r="V67" i="3"/>
  <c r="L67" i="3"/>
  <c r="AA67" i="3"/>
  <c r="AQ67" i="3"/>
  <c r="AP67" i="3"/>
  <c r="N67" i="3"/>
  <c r="D67" i="3"/>
  <c r="M67" i="3"/>
  <c r="CB7" i="3"/>
  <c r="CB8" i="3"/>
  <c r="CB29" i="3"/>
  <c r="CB14" i="3"/>
  <c r="CB33" i="3"/>
  <c r="CC13" i="3"/>
  <c r="CD13" i="3" s="1"/>
  <c r="CB26" i="3"/>
  <c r="CB19" i="3"/>
  <c r="CB36" i="3"/>
  <c r="CB22" i="3"/>
  <c r="CC35" i="3"/>
  <c r="CD35" i="3" s="1"/>
  <c r="CB24" i="3"/>
  <c r="CB40" i="3"/>
  <c r="CB42" i="3"/>
  <c r="CB15" i="3"/>
  <c r="CB31" i="3"/>
  <c r="CB4" i="3"/>
  <c r="CB38" i="3"/>
  <c r="CC21" i="3"/>
  <c r="CD21" i="3" s="1"/>
  <c r="CD4" i="3"/>
  <c r="CC34" i="3"/>
  <c r="CD34" i="3" s="1"/>
  <c r="CB25" i="3"/>
  <c r="CC37" i="3"/>
  <c r="CD37" i="3" s="1"/>
  <c r="CC18" i="3"/>
  <c r="CD18" i="3" s="1"/>
  <c r="CB17" i="3"/>
  <c r="CB32" i="3"/>
  <c r="CB9" i="3"/>
  <c r="CC16" i="3"/>
  <c r="CD16" i="3" s="1"/>
  <c r="CB28" i="3"/>
  <c r="CB10" i="3"/>
  <c r="CB6" i="3"/>
  <c r="CB27" i="3"/>
  <c r="CC20" i="3"/>
  <c r="CD20" i="3" s="1"/>
  <c r="CC11" i="3"/>
  <c r="CD11" i="3" s="1"/>
  <c r="CC39" i="3"/>
  <c r="CD39" i="3" s="1"/>
  <c r="CB41" i="3"/>
  <c r="CC30" i="3"/>
  <c r="CD30" i="3" s="1"/>
  <c r="CC12" i="3"/>
  <c r="CD12" i="3" s="1"/>
  <c r="CB23" i="3"/>
  <c r="CB5" i="3"/>
  <c r="BN67" i="3" l="1"/>
  <c r="BJ65" i="3"/>
  <c r="BT67" i="3"/>
  <c r="BH67" i="3"/>
  <c r="BB67" i="3"/>
  <c r="BA67" i="3"/>
  <c r="BZ67" i="3"/>
  <c r="AW68" i="3"/>
  <c r="AM68" i="3" s="1"/>
  <c r="BC66" i="3"/>
  <c r="BD66" i="3" s="1"/>
  <c r="BI66" i="3"/>
  <c r="BK66" i="3" s="1"/>
  <c r="BL66" i="3" s="1"/>
  <c r="AI67" i="3"/>
  <c r="BG67" i="3"/>
  <c r="BM67" i="3"/>
  <c r="BO67" i="3" s="1"/>
  <c r="BO66" i="3"/>
  <c r="BQ66" i="3" s="1"/>
  <c r="BR66" i="3" s="1"/>
  <c r="BP65" i="3"/>
  <c r="BV65" i="3"/>
  <c r="BU66" i="3"/>
  <c r="BV66" i="3" s="1"/>
  <c r="BY67" i="3"/>
  <c r="CF65" i="3"/>
  <c r="CG65" i="3"/>
  <c r="CB65" i="3"/>
  <c r="CC65" i="3"/>
  <c r="CD65" i="3" s="1"/>
  <c r="BS67" i="3"/>
  <c r="CE66" i="3"/>
  <c r="CA66" i="3"/>
  <c r="AY67" i="3"/>
  <c r="S68" i="3"/>
  <c r="Z68" i="3"/>
  <c r="AV68" i="3"/>
  <c r="AP68" i="3"/>
  <c r="C68" i="3"/>
  <c r="V68" i="3"/>
  <c r="AA68" i="3"/>
  <c r="AU68" i="3"/>
  <c r="K68" i="3"/>
  <c r="R68" i="3"/>
  <c r="AN68" i="3"/>
  <c r="AS68" i="3"/>
  <c r="AD68" i="3"/>
  <c r="P68" i="3"/>
  <c r="AK68" i="3"/>
  <c r="AH68" i="3" s="1"/>
  <c r="I68" i="3"/>
  <c r="G68" i="3" s="1"/>
  <c r="AQ68" i="3"/>
  <c r="AO68" i="3"/>
  <c r="J68" i="3"/>
  <c r="AE68" i="3"/>
  <c r="AF68" i="3"/>
  <c r="Q68" i="3"/>
  <c r="D68" i="3"/>
  <c r="X68" i="3"/>
  <c r="N68" i="3"/>
  <c r="B68" i="3"/>
  <c r="W68" i="3"/>
  <c r="T68" i="3"/>
  <c r="E68" i="3"/>
  <c r="AL68" i="3"/>
  <c r="L68" i="3"/>
  <c r="AT68" i="3"/>
  <c r="O68" i="3"/>
  <c r="F68" i="3"/>
  <c r="Y68" i="3"/>
  <c r="A69" i="3"/>
  <c r="Q69" i="12" s="1"/>
  <c r="AG68" i="3"/>
  <c r="AR68" i="3"/>
  <c r="M68" i="3"/>
  <c r="U68" i="3"/>
  <c r="AX68" i="3"/>
  <c r="AB68" i="3"/>
  <c r="H68" i="3"/>
  <c r="BH68" i="3" l="1"/>
  <c r="BA68" i="3"/>
  <c r="BN68" i="3"/>
  <c r="BJ66" i="3"/>
  <c r="BT68" i="3"/>
  <c r="BZ68" i="3"/>
  <c r="BE66" i="3"/>
  <c r="BF66" i="3" s="1"/>
  <c r="BB68" i="3"/>
  <c r="AW69" i="3"/>
  <c r="BZ69" i="3" s="1"/>
  <c r="BW66" i="3"/>
  <c r="BX66" i="3" s="1"/>
  <c r="BM68" i="3"/>
  <c r="AI68" i="3"/>
  <c r="BI67" i="3"/>
  <c r="BJ67" i="3" s="1"/>
  <c r="BP66" i="3"/>
  <c r="BC67" i="3"/>
  <c r="BE67" i="3" s="1"/>
  <c r="BF67" i="3" s="1"/>
  <c r="BU67" i="3"/>
  <c r="BV67" i="3" s="1"/>
  <c r="BS68" i="3"/>
  <c r="BQ67" i="3"/>
  <c r="BR67" i="3" s="1"/>
  <c r="BP67" i="3"/>
  <c r="CE67" i="3"/>
  <c r="CA67" i="3"/>
  <c r="BG68" i="3"/>
  <c r="AC68" i="3"/>
  <c r="BY68" i="3" s="1"/>
  <c r="CC66" i="3"/>
  <c r="CD66" i="3" s="1"/>
  <c r="CB66" i="3"/>
  <c r="AY68" i="3"/>
  <c r="CF66" i="3"/>
  <c r="CG66" i="3"/>
  <c r="N69" i="3"/>
  <c r="X69" i="3"/>
  <c r="AP69" i="3"/>
  <c r="Z69" i="3"/>
  <c r="AV69" i="3"/>
  <c r="K69" i="3"/>
  <c r="AT69" i="3"/>
  <c r="B69" i="3"/>
  <c r="V69" i="3"/>
  <c r="F69" i="3"/>
  <c r="AA69" i="3"/>
  <c r="J69" i="3"/>
  <c r="AQ69" i="3"/>
  <c r="AB69" i="3"/>
  <c r="M69" i="3"/>
  <c r="AF69" i="3"/>
  <c r="AX69" i="3"/>
  <c r="AK69" i="3"/>
  <c r="AH69" i="3" s="1"/>
  <c r="S69" i="3"/>
  <c r="A70" i="3"/>
  <c r="Q70" i="12" s="1"/>
  <c r="AS69" i="3"/>
  <c r="P69" i="3"/>
  <c r="Q69" i="3"/>
  <c r="AR69" i="3"/>
  <c r="AO69" i="3"/>
  <c r="AN69" i="3"/>
  <c r="C69" i="3"/>
  <c r="AG69" i="3"/>
  <c r="R69" i="3"/>
  <c r="D69" i="3"/>
  <c r="AL69" i="3"/>
  <c r="O69" i="3"/>
  <c r="AE69" i="3"/>
  <c r="BS69" i="3" s="1"/>
  <c r="AU69" i="3"/>
  <c r="T69" i="3"/>
  <c r="E69" i="3"/>
  <c r="Y69" i="3"/>
  <c r="W69" i="3"/>
  <c r="AD69" i="3"/>
  <c r="U69" i="3"/>
  <c r="H69" i="3"/>
  <c r="L69" i="3"/>
  <c r="I69" i="3"/>
  <c r="G69" i="3" s="1"/>
  <c r="AM69" i="3" l="1"/>
  <c r="BB69" i="3"/>
  <c r="BO68" i="3"/>
  <c r="BP68" i="3" s="1"/>
  <c r="BA69" i="3"/>
  <c r="BH69" i="3"/>
  <c r="BT69" i="3"/>
  <c r="BU69" i="3" s="1"/>
  <c r="BN69" i="3"/>
  <c r="AW70" i="3"/>
  <c r="AM70" i="3" s="1"/>
  <c r="BD67" i="3"/>
  <c r="BK67" i="3"/>
  <c r="BL67" i="3" s="1"/>
  <c r="BW67" i="3"/>
  <c r="BX67" i="3" s="1"/>
  <c r="AC69" i="3"/>
  <c r="BY69" i="3" s="1"/>
  <c r="BU68" i="3"/>
  <c r="BV68" i="3" s="1"/>
  <c r="BM69" i="3"/>
  <c r="BG69" i="3"/>
  <c r="BC68" i="3"/>
  <c r="BE68" i="3" s="1"/>
  <c r="BF68" i="3" s="1"/>
  <c r="AI69" i="3"/>
  <c r="CA68" i="3"/>
  <c r="CE68" i="3"/>
  <c r="BI68" i="3"/>
  <c r="AY69" i="3"/>
  <c r="CC67" i="3"/>
  <c r="CD67" i="3" s="1"/>
  <c r="CB67" i="3"/>
  <c r="CF67" i="3"/>
  <c r="CG67" i="3"/>
  <c r="BQ68" i="3"/>
  <c r="BR68" i="3" s="1"/>
  <c r="T70" i="3"/>
  <c r="K70" i="3"/>
  <c r="Z70" i="3"/>
  <c r="AV70" i="3"/>
  <c r="AB70" i="3"/>
  <c r="AU70" i="3"/>
  <c r="U70" i="3"/>
  <c r="F70" i="3"/>
  <c r="C70" i="3"/>
  <c r="R70" i="3"/>
  <c r="AN70" i="3"/>
  <c r="AO70" i="3"/>
  <c r="N70" i="3"/>
  <c r="V70" i="3"/>
  <c r="H70" i="3"/>
  <c r="J70" i="3"/>
  <c r="AE70" i="3"/>
  <c r="AK70" i="3"/>
  <c r="AH70" i="3" s="1"/>
  <c r="I70" i="3"/>
  <c r="G70" i="3" s="1"/>
  <c r="B70" i="3"/>
  <c r="W70" i="3"/>
  <c r="P70" i="3"/>
  <c r="X70" i="3"/>
  <c r="AP70" i="3"/>
  <c r="AR70" i="3"/>
  <c r="O70" i="3"/>
  <c r="D70" i="3"/>
  <c r="AL70" i="3"/>
  <c r="L70" i="3"/>
  <c r="AD70" i="3"/>
  <c r="AA70" i="3"/>
  <c r="M70" i="3"/>
  <c r="AT70" i="3"/>
  <c r="AQ70" i="3"/>
  <c r="AG70" i="3"/>
  <c r="Y70" i="3"/>
  <c r="A71" i="3"/>
  <c r="Q71" i="12" s="1"/>
  <c r="AS70" i="3"/>
  <c r="Q70" i="3"/>
  <c r="AX70" i="3"/>
  <c r="AF70" i="3"/>
  <c r="S70" i="3"/>
  <c r="E70" i="3"/>
  <c r="BC69" i="3" l="1"/>
  <c r="BT70" i="3"/>
  <c r="BB70" i="3"/>
  <c r="BW68" i="3"/>
  <c r="BX68" i="3" s="1"/>
  <c r="BO69" i="3"/>
  <c r="BA70" i="3"/>
  <c r="BZ70" i="3"/>
  <c r="BH70" i="3"/>
  <c r="BN70" i="3"/>
  <c r="AW71" i="3"/>
  <c r="AM71" i="3" s="1"/>
  <c r="BD68" i="3"/>
  <c r="BI69" i="3"/>
  <c r="BK69" i="3" s="1"/>
  <c r="BL69" i="3" s="1"/>
  <c r="BG70" i="3"/>
  <c r="AI70" i="3"/>
  <c r="BE69" i="3"/>
  <c r="BF69" i="3" s="1"/>
  <c r="BD69" i="3"/>
  <c r="CB68" i="3"/>
  <c r="CC68" i="3"/>
  <c r="CD68" i="3" s="1"/>
  <c r="BV69" i="3"/>
  <c r="BW69" i="3"/>
  <c r="BX69" i="3" s="1"/>
  <c r="AC70" i="3"/>
  <c r="BY70" i="3" s="1"/>
  <c r="CA69" i="3"/>
  <c r="CE69" i="3"/>
  <c r="CF68" i="3"/>
  <c r="CG68" i="3"/>
  <c r="AY70" i="3"/>
  <c r="BQ69" i="3"/>
  <c r="BR69" i="3" s="1"/>
  <c r="BP69" i="3"/>
  <c r="BK68" i="3"/>
  <c r="BL68" i="3" s="1"/>
  <c r="BJ68" i="3"/>
  <c r="BS70" i="3"/>
  <c r="BM70" i="3"/>
  <c r="W71" i="3"/>
  <c r="AD71" i="3"/>
  <c r="AQ71" i="3"/>
  <c r="AB71" i="3"/>
  <c r="M71" i="3"/>
  <c r="U71" i="3"/>
  <c r="Z71" i="3"/>
  <c r="O71" i="3"/>
  <c r="V71" i="3"/>
  <c r="AR71" i="3"/>
  <c r="AS71" i="3"/>
  <c r="P71" i="3"/>
  <c r="AK71" i="3"/>
  <c r="AH71" i="3" s="1"/>
  <c r="I71" i="3"/>
  <c r="G71" i="3" s="1"/>
  <c r="AE71" i="3"/>
  <c r="BT71" i="3" s="1"/>
  <c r="N71" i="3"/>
  <c r="AT71" i="3"/>
  <c r="AF71" i="3"/>
  <c r="Q71" i="3"/>
  <c r="B71" i="3"/>
  <c r="X71" i="3"/>
  <c r="F71" i="3"/>
  <c r="AA71" i="3"/>
  <c r="AG71" i="3"/>
  <c r="R71" i="3"/>
  <c r="D71" i="3"/>
  <c r="AX71" i="3"/>
  <c r="J71" i="3"/>
  <c r="AU71" i="3"/>
  <c r="S71" i="3"/>
  <c r="T71" i="3"/>
  <c r="E71" i="3"/>
  <c r="AL71" i="3"/>
  <c r="A72" i="3"/>
  <c r="Q72" i="12" s="1"/>
  <c r="AV71" i="3"/>
  <c r="K71" i="3"/>
  <c r="H71" i="3"/>
  <c r="Y71" i="3"/>
  <c r="AP71" i="3"/>
  <c r="AN71" i="3"/>
  <c r="C71" i="3"/>
  <c r="AO71" i="3"/>
  <c r="L71" i="3"/>
  <c r="BI70" i="3" l="1"/>
  <c r="BJ70" i="3" s="1"/>
  <c r="BN71" i="3"/>
  <c r="BB71" i="3"/>
  <c r="BA71" i="3"/>
  <c r="BZ71" i="3"/>
  <c r="BH71" i="3"/>
  <c r="AW72" i="3"/>
  <c r="AM72" i="3" s="1"/>
  <c r="BJ69" i="3"/>
  <c r="BS71" i="3"/>
  <c r="BU71" i="3" s="1"/>
  <c r="BU70" i="3"/>
  <c r="BV70" i="3" s="1"/>
  <c r="BG71" i="3"/>
  <c r="AY71" i="3"/>
  <c r="BO70" i="3"/>
  <c r="BP70" i="3" s="1"/>
  <c r="AC71" i="3"/>
  <c r="BY71" i="3" s="1"/>
  <c r="BM71" i="3"/>
  <c r="AI71" i="3"/>
  <c r="BC70" i="3"/>
  <c r="BW70" i="3"/>
  <c r="BX70" i="3" s="1"/>
  <c r="CG69" i="3"/>
  <c r="CF69" i="3"/>
  <c r="CB69" i="3"/>
  <c r="CC69" i="3"/>
  <c r="CD69" i="3" s="1"/>
  <c r="CE70" i="3"/>
  <c r="CA70" i="3"/>
  <c r="S72" i="3"/>
  <c r="AQ72" i="3"/>
  <c r="X72" i="3"/>
  <c r="AO72" i="3"/>
  <c r="AB72" i="3"/>
  <c r="V72" i="3"/>
  <c r="H72" i="3"/>
  <c r="K72" i="3"/>
  <c r="Z72" i="3"/>
  <c r="AV72" i="3"/>
  <c r="AL72" i="3"/>
  <c r="L72" i="3"/>
  <c r="AP72" i="3"/>
  <c r="AA72" i="3"/>
  <c r="C72" i="3"/>
  <c r="R72" i="3"/>
  <c r="AN72" i="3"/>
  <c r="Y72" i="3"/>
  <c r="A73" i="3"/>
  <c r="Q73" i="12" s="1"/>
  <c r="AS72" i="3"/>
  <c r="AD72" i="3"/>
  <c r="P72" i="3"/>
  <c r="AK72" i="3"/>
  <c r="AH72" i="3" s="1"/>
  <c r="AI72" i="3" s="1"/>
  <c r="J72" i="3"/>
  <c r="AE72" i="3"/>
  <c r="AC72" i="3" s="1"/>
  <c r="M72" i="3"/>
  <c r="AT72" i="3"/>
  <c r="AF72" i="3"/>
  <c r="Q72" i="3"/>
  <c r="D72" i="3"/>
  <c r="N72" i="3"/>
  <c r="B72" i="3"/>
  <c r="W72" i="3"/>
  <c r="AG72" i="3"/>
  <c r="T72" i="3"/>
  <c r="E72" i="3"/>
  <c r="AR72" i="3"/>
  <c r="O72" i="3"/>
  <c r="AU72" i="3"/>
  <c r="U72" i="3"/>
  <c r="F72" i="3"/>
  <c r="AX72" i="3"/>
  <c r="I72" i="3"/>
  <c r="G72" i="3" s="1"/>
  <c r="BK70" i="3" l="1"/>
  <c r="BL70" i="3" s="1"/>
  <c r="BI71" i="3"/>
  <c r="BK71" i="3" s="1"/>
  <c r="BL71" i="3" s="1"/>
  <c r="BZ72" i="3"/>
  <c r="BA72" i="3"/>
  <c r="BT72" i="3"/>
  <c r="BB72" i="3"/>
  <c r="BC72" i="3" s="1"/>
  <c r="BH72" i="3"/>
  <c r="BN72" i="3"/>
  <c r="AW73" i="3"/>
  <c r="AM73" i="3" s="1"/>
  <c r="CA71" i="3"/>
  <c r="CC71" i="3" s="1"/>
  <c r="CD71" i="3" s="1"/>
  <c r="BC71" i="3"/>
  <c r="BD71" i="3" s="1"/>
  <c r="BQ70" i="3"/>
  <c r="BR70" i="3" s="1"/>
  <c r="BJ71" i="3"/>
  <c r="CE71" i="3"/>
  <c r="CF71" i="3" s="1"/>
  <c r="BW71" i="3"/>
  <c r="BX71" i="3" s="1"/>
  <c r="BV71" i="3"/>
  <c r="BO71" i="3"/>
  <c r="BY72" i="3"/>
  <c r="CC70" i="3"/>
  <c r="CD70" i="3" s="1"/>
  <c r="CB70" i="3"/>
  <c r="CB71" i="3"/>
  <c r="BD70" i="3"/>
  <c r="BE70" i="3"/>
  <c r="BF70" i="3" s="1"/>
  <c r="BS72" i="3"/>
  <c r="CG70" i="3"/>
  <c r="CF70" i="3"/>
  <c r="BG72" i="3"/>
  <c r="BM72" i="3"/>
  <c r="AY72" i="3"/>
  <c r="O73" i="3"/>
  <c r="V73" i="3"/>
  <c r="AR73" i="3"/>
  <c r="AP73" i="3"/>
  <c r="Z73" i="3"/>
  <c r="T73" i="3"/>
  <c r="AF73" i="3"/>
  <c r="R73" i="3"/>
  <c r="N73" i="3"/>
  <c r="AQ73" i="3"/>
  <c r="AB73" i="3"/>
  <c r="M73" i="3"/>
  <c r="U73" i="3"/>
  <c r="H73" i="3"/>
  <c r="AU73" i="3"/>
  <c r="AT73" i="3"/>
  <c r="W73" i="3"/>
  <c r="F73" i="3"/>
  <c r="AA73" i="3"/>
  <c r="P73" i="3"/>
  <c r="AK73" i="3"/>
  <c r="AH73" i="3" s="1"/>
  <c r="I73" i="3"/>
  <c r="G73" i="3" s="1"/>
  <c r="E73" i="3"/>
  <c r="AE73" i="3"/>
  <c r="AC73" i="3" s="1"/>
  <c r="AS73" i="3"/>
  <c r="S73" i="3"/>
  <c r="Q73" i="3"/>
  <c r="B73" i="3"/>
  <c r="X73" i="3"/>
  <c r="AO73" i="3"/>
  <c r="AV73" i="3"/>
  <c r="K73" i="3"/>
  <c r="D73" i="3"/>
  <c r="AX73" i="3"/>
  <c r="J73" i="3"/>
  <c r="Y73" i="3"/>
  <c r="AG73" i="3"/>
  <c r="AN73" i="3"/>
  <c r="C73" i="3"/>
  <c r="AL73" i="3"/>
  <c r="A74" i="3"/>
  <c r="Q74" i="12" s="1"/>
  <c r="AD73" i="3"/>
  <c r="L73" i="3"/>
  <c r="BN73" i="3" l="1"/>
  <c r="BH73" i="3"/>
  <c r="BB73" i="3"/>
  <c r="BA73" i="3"/>
  <c r="BZ73" i="3"/>
  <c r="BT73" i="3"/>
  <c r="AW74" i="3"/>
  <c r="AM74" i="3" s="1"/>
  <c r="CG71" i="3"/>
  <c r="BE71" i="3"/>
  <c r="BF71" i="3" s="1"/>
  <c r="BY73" i="3"/>
  <c r="AY73" i="3"/>
  <c r="CE73" i="3" s="1"/>
  <c r="BG73" i="3"/>
  <c r="BQ71" i="3"/>
  <c r="BR71" i="3" s="1"/>
  <c r="BP71" i="3"/>
  <c r="BM73" i="3"/>
  <c r="AI73" i="3"/>
  <c r="BU72" i="3"/>
  <c r="CE72" i="3"/>
  <c r="CA72" i="3"/>
  <c r="BD72" i="3"/>
  <c r="BE72" i="3"/>
  <c r="BF72" i="3" s="1"/>
  <c r="BO72" i="3"/>
  <c r="BS73" i="3"/>
  <c r="BI72" i="3"/>
  <c r="S74" i="3"/>
  <c r="AQ74" i="3"/>
  <c r="AT74" i="3"/>
  <c r="AF74" i="3"/>
  <c r="Q74" i="3"/>
  <c r="D74" i="3"/>
  <c r="AL74" i="3"/>
  <c r="X74" i="3"/>
  <c r="K74" i="3"/>
  <c r="Z74" i="3"/>
  <c r="AV74" i="3"/>
  <c r="AG74" i="3"/>
  <c r="T74" i="3"/>
  <c r="E74" i="3"/>
  <c r="Y74" i="3"/>
  <c r="AP74" i="3"/>
  <c r="AS74" i="3"/>
  <c r="AK74" i="3"/>
  <c r="AH74" i="3" s="1"/>
  <c r="C74" i="3"/>
  <c r="R74" i="3"/>
  <c r="AN74" i="3"/>
  <c r="AU74" i="3"/>
  <c r="U74" i="3"/>
  <c r="F74" i="3"/>
  <c r="M74" i="3"/>
  <c r="A75" i="3"/>
  <c r="Q75" i="12" s="1"/>
  <c r="J74" i="3"/>
  <c r="AE74" i="3"/>
  <c r="V74" i="3"/>
  <c r="H74" i="3"/>
  <c r="L74" i="3"/>
  <c r="B74" i="3"/>
  <c r="W74" i="3"/>
  <c r="I74" i="3"/>
  <c r="G74" i="3" s="1"/>
  <c r="AB74" i="3"/>
  <c r="AA74" i="3"/>
  <c r="P74" i="3"/>
  <c r="AR74" i="3"/>
  <c r="O74" i="3"/>
  <c r="AO74" i="3"/>
  <c r="N74" i="3"/>
  <c r="AX74" i="3"/>
  <c r="AD74" i="3"/>
  <c r="BC73" i="3" l="1"/>
  <c r="BH74" i="3"/>
  <c r="CA73" i="3"/>
  <c r="BT74" i="3"/>
  <c r="BN74" i="3"/>
  <c r="BB74" i="3"/>
  <c r="BA74" i="3"/>
  <c r="BZ74" i="3"/>
  <c r="AW75" i="3"/>
  <c r="BZ75" i="3" s="1"/>
  <c r="AI74" i="3"/>
  <c r="BM74" i="3"/>
  <c r="BU73" i="3"/>
  <c r="BW73" i="3" s="1"/>
  <c r="BX73" i="3" s="1"/>
  <c r="BI73" i="3"/>
  <c r="AC74" i="3"/>
  <c r="BY74" i="3" s="1"/>
  <c r="BG74" i="3"/>
  <c r="BO73" i="3"/>
  <c r="BE73" i="3"/>
  <c r="BF73" i="3" s="1"/>
  <c r="BD73" i="3"/>
  <c r="CB73" i="3"/>
  <c r="CC73" i="3"/>
  <c r="CD73" i="3" s="1"/>
  <c r="CB72" i="3"/>
  <c r="CC72" i="3"/>
  <c r="CD72" i="3" s="1"/>
  <c r="BO74" i="3"/>
  <c r="AY74" i="3"/>
  <c r="CF72" i="3"/>
  <c r="CG72" i="3"/>
  <c r="BS74" i="3"/>
  <c r="BJ72" i="3"/>
  <c r="BK72" i="3"/>
  <c r="BL72" i="3" s="1"/>
  <c r="BV73" i="3"/>
  <c r="BP72" i="3"/>
  <c r="BQ72" i="3"/>
  <c r="BR72" i="3" s="1"/>
  <c r="BV72" i="3"/>
  <c r="BW72" i="3"/>
  <c r="BX72" i="3" s="1"/>
  <c r="CF73" i="3"/>
  <c r="CG73" i="3"/>
  <c r="AN75" i="3"/>
  <c r="C75" i="3"/>
  <c r="AP75" i="3"/>
  <c r="H75" i="3"/>
  <c r="AF75" i="3"/>
  <c r="AB75" i="3"/>
  <c r="T75" i="3"/>
  <c r="AE75" i="3"/>
  <c r="AU75" i="3"/>
  <c r="Y75" i="3"/>
  <c r="Q75" i="3"/>
  <c r="J75" i="3"/>
  <c r="W75" i="3"/>
  <c r="AD75" i="3"/>
  <c r="L75" i="3"/>
  <c r="AK75" i="3"/>
  <c r="AH75" i="3" s="1"/>
  <c r="AG75" i="3"/>
  <c r="D75" i="3"/>
  <c r="K75" i="3"/>
  <c r="AS75" i="3"/>
  <c r="O75" i="3"/>
  <c r="V75" i="3"/>
  <c r="AT75" i="3"/>
  <c r="AR75" i="3"/>
  <c r="AQ75" i="3"/>
  <c r="U75" i="3"/>
  <c r="R75" i="3"/>
  <c r="P75" i="3"/>
  <c r="N75" i="3"/>
  <c r="AL75" i="3"/>
  <c r="Z75" i="3"/>
  <c r="I75" i="3"/>
  <c r="G75" i="3" s="1"/>
  <c r="E75" i="3"/>
  <c r="B75" i="3"/>
  <c r="F75" i="3"/>
  <c r="AA75" i="3"/>
  <c r="M75" i="3"/>
  <c r="AO75" i="3"/>
  <c r="A76" i="3"/>
  <c r="Q76" i="12" s="1"/>
  <c r="S75" i="3"/>
  <c r="X75" i="3"/>
  <c r="AX75" i="3"/>
  <c r="AV75" i="3"/>
  <c r="BC74" i="3" l="1"/>
  <c r="BT75" i="3"/>
  <c r="AM75" i="3"/>
  <c r="BH75" i="3"/>
  <c r="BN75" i="3"/>
  <c r="BB75" i="3"/>
  <c r="BA75" i="3"/>
  <c r="AW76" i="3"/>
  <c r="BZ76" i="3" s="1"/>
  <c r="BI74" i="3"/>
  <c r="BK74" i="3" s="1"/>
  <c r="BL74" i="3" s="1"/>
  <c r="BJ73" i="3"/>
  <c r="BK73" i="3"/>
  <c r="BL73" i="3" s="1"/>
  <c r="BP73" i="3"/>
  <c r="BQ73" i="3"/>
  <c r="BR73" i="3" s="1"/>
  <c r="AI75" i="3"/>
  <c r="BP74" i="3"/>
  <c r="BQ74" i="3"/>
  <c r="BR74" i="3" s="1"/>
  <c r="BE74" i="3"/>
  <c r="BF74" i="3" s="1"/>
  <c r="BD74" i="3"/>
  <c r="AC75" i="3"/>
  <c r="BY75" i="3" s="1"/>
  <c r="BG75" i="3"/>
  <c r="AY75" i="3"/>
  <c r="CA74" i="3"/>
  <c r="CE74" i="3"/>
  <c r="BS75" i="3"/>
  <c r="BU75" i="3" s="1"/>
  <c r="BM75" i="3"/>
  <c r="BU74" i="3"/>
  <c r="F76" i="3"/>
  <c r="AS76" i="3"/>
  <c r="C76" i="3"/>
  <c r="R76" i="3"/>
  <c r="AG76" i="3"/>
  <c r="AV76" i="3"/>
  <c r="X76" i="3"/>
  <c r="AO76" i="3"/>
  <c r="A77" i="3"/>
  <c r="Q77" i="12" s="1"/>
  <c r="U76" i="3"/>
  <c r="AK76" i="3"/>
  <c r="AH76" i="3" s="1"/>
  <c r="AI76" i="3" s="1"/>
  <c r="J76" i="3"/>
  <c r="Y76" i="3"/>
  <c r="AN76" i="3"/>
  <c r="H76" i="3"/>
  <c r="M76" i="3"/>
  <c r="AB76" i="3"/>
  <c r="B76" i="3"/>
  <c r="Q76" i="3"/>
  <c r="AE76" i="3"/>
  <c r="P76" i="3"/>
  <c r="T76" i="3"/>
  <c r="AR76" i="3"/>
  <c r="I76" i="3"/>
  <c r="G76" i="3" s="1"/>
  <c r="W76" i="3"/>
  <c r="AU76" i="3"/>
  <c r="L76" i="3"/>
  <c r="O76" i="3"/>
  <c r="AD76" i="3"/>
  <c r="D76" i="3"/>
  <c r="AA76" i="3"/>
  <c r="AX76" i="3"/>
  <c r="K76" i="3"/>
  <c r="AP76" i="3"/>
  <c r="V76" i="3"/>
  <c r="AT76" i="3"/>
  <c r="S76" i="3"/>
  <c r="AQ76" i="3"/>
  <c r="AF76" i="3"/>
  <c r="E76" i="3"/>
  <c r="N76" i="3"/>
  <c r="AL76" i="3"/>
  <c r="Z76" i="3"/>
  <c r="BO75" i="3" l="1"/>
  <c r="BH76" i="3"/>
  <c r="AM76" i="3"/>
  <c r="BJ74" i="3"/>
  <c r="BN76" i="3"/>
  <c r="BG76" i="3"/>
  <c r="BI76" i="3" s="1"/>
  <c r="BA76" i="3"/>
  <c r="BB76" i="3"/>
  <c r="BT76" i="3"/>
  <c r="AW77" i="3"/>
  <c r="BZ77" i="3" s="1"/>
  <c r="BC75" i="3"/>
  <c r="BD75" i="3" s="1"/>
  <c r="BM76" i="3"/>
  <c r="AC76" i="3"/>
  <c r="BY76" i="3" s="1"/>
  <c r="BS76" i="3"/>
  <c r="BV75" i="3"/>
  <c r="BW75" i="3"/>
  <c r="BX75" i="3" s="1"/>
  <c r="AY76" i="3"/>
  <c r="CG74" i="3"/>
  <c r="CF74" i="3"/>
  <c r="CC74" i="3"/>
  <c r="CD74" i="3" s="1"/>
  <c r="CB74" i="3"/>
  <c r="BW74" i="3"/>
  <c r="BX74" i="3" s="1"/>
  <c r="BV74" i="3"/>
  <c r="CA75" i="3"/>
  <c r="CE75" i="3"/>
  <c r="BQ75" i="3"/>
  <c r="BR75" i="3" s="1"/>
  <c r="BP75" i="3"/>
  <c r="BI75" i="3"/>
  <c r="J77" i="3"/>
  <c r="Y77" i="3"/>
  <c r="AO77" i="3"/>
  <c r="A78" i="3"/>
  <c r="Q78" i="12" s="1"/>
  <c r="U77" i="3"/>
  <c r="AR77" i="3"/>
  <c r="C77" i="3"/>
  <c r="B77" i="3"/>
  <c r="Q77" i="3"/>
  <c r="AF77" i="3"/>
  <c r="AV77" i="3"/>
  <c r="M77" i="3"/>
  <c r="D77" i="3"/>
  <c r="I77" i="3"/>
  <c r="G77" i="3" s="1"/>
  <c r="X77" i="3"/>
  <c r="AN77" i="3"/>
  <c r="E77" i="3"/>
  <c r="AA77" i="3"/>
  <c r="V77" i="3"/>
  <c r="P77" i="3"/>
  <c r="AE77" i="3"/>
  <c r="BT77" i="3" s="1"/>
  <c r="AU77" i="3"/>
  <c r="S77" i="3"/>
  <c r="AS77" i="3"/>
  <c r="O77" i="3"/>
  <c r="AT77" i="3"/>
  <c r="AX77" i="3"/>
  <c r="H77" i="3"/>
  <c r="W77" i="3"/>
  <c r="AD77" i="3"/>
  <c r="K77" i="3"/>
  <c r="AK77" i="3"/>
  <c r="AH77" i="3" s="1"/>
  <c r="Z77" i="3"/>
  <c r="AP77" i="3"/>
  <c r="N77" i="3"/>
  <c r="AL77" i="3"/>
  <c r="AB77" i="3"/>
  <c r="R77" i="3"/>
  <c r="AG77" i="3"/>
  <c r="F77" i="3"/>
  <c r="L77" i="3"/>
  <c r="T77" i="3"/>
  <c r="AQ77" i="3"/>
  <c r="BC76" i="3" l="1"/>
  <c r="BO76" i="3"/>
  <c r="AM77" i="3"/>
  <c r="BN77" i="3"/>
  <c r="BB77" i="3"/>
  <c r="BA77" i="3"/>
  <c r="BH77" i="3"/>
  <c r="BE75" i="3"/>
  <c r="BF75" i="3" s="1"/>
  <c r="AW78" i="3"/>
  <c r="AM78" i="3" s="1"/>
  <c r="BU76" i="3"/>
  <c r="BV76" i="3" s="1"/>
  <c r="BS77" i="3"/>
  <c r="AC77" i="3"/>
  <c r="BY77" i="3" s="1"/>
  <c r="BU77" i="3"/>
  <c r="AI77" i="3"/>
  <c r="BG77" i="3"/>
  <c r="CC75" i="3"/>
  <c r="CD75" i="3" s="1"/>
  <c r="CB75" i="3"/>
  <c r="BQ76" i="3"/>
  <c r="BR76" i="3" s="1"/>
  <c r="BP76" i="3"/>
  <c r="BE76" i="3"/>
  <c r="BF76" i="3" s="1"/>
  <c r="BD76" i="3"/>
  <c r="AY77" i="3"/>
  <c r="CG75" i="3"/>
  <c r="CF75" i="3"/>
  <c r="BM77" i="3"/>
  <c r="BJ75" i="3"/>
  <c r="BK75" i="3"/>
  <c r="BL75" i="3" s="1"/>
  <c r="CE76" i="3"/>
  <c r="CA76" i="3"/>
  <c r="BK76" i="3"/>
  <c r="BL76" i="3" s="1"/>
  <c r="BJ76" i="3"/>
  <c r="F78" i="3"/>
  <c r="K78" i="3"/>
  <c r="Z78" i="3"/>
  <c r="AP78" i="3"/>
  <c r="AF78" i="3"/>
  <c r="S78" i="3"/>
  <c r="AO78" i="3"/>
  <c r="A79" i="3"/>
  <c r="Q79" i="12" s="1"/>
  <c r="U78" i="3"/>
  <c r="AS78" i="3"/>
  <c r="C78" i="3"/>
  <c r="R78" i="3"/>
  <c r="AG78" i="3"/>
  <c r="AV78" i="3"/>
  <c r="N78" i="3"/>
  <c r="M78" i="3"/>
  <c r="AK78" i="3"/>
  <c r="AH78" i="3" s="1"/>
  <c r="J78" i="3"/>
  <c r="Y78" i="3"/>
  <c r="AN78" i="3"/>
  <c r="X78" i="3"/>
  <c r="E78" i="3"/>
  <c r="AB78" i="3"/>
  <c r="B78" i="3"/>
  <c r="Q78" i="3"/>
  <c r="AE78" i="3"/>
  <c r="AU78" i="3"/>
  <c r="T78" i="3"/>
  <c r="AR78" i="3"/>
  <c r="I78" i="3"/>
  <c r="G78" i="3" s="1"/>
  <c r="W78" i="3"/>
  <c r="P78" i="3"/>
  <c r="AL78" i="3"/>
  <c r="AD78" i="3"/>
  <c r="L78" i="3"/>
  <c r="O78" i="3"/>
  <c r="V78" i="3"/>
  <c r="AT78" i="3"/>
  <c r="D78" i="3"/>
  <c r="AA78" i="3"/>
  <c r="AX78" i="3"/>
  <c r="H78" i="3"/>
  <c r="AQ78" i="3"/>
  <c r="BT78" i="3" l="1"/>
  <c r="BW76" i="3"/>
  <c r="BX76" i="3" s="1"/>
  <c r="BA78" i="3"/>
  <c r="BB78" i="3"/>
  <c r="BH78" i="3"/>
  <c r="BZ78" i="3"/>
  <c r="BN78" i="3"/>
  <c r="AW79" i="3"/>
  <c r="AM79" i="3" s="1"/>
  <c r="BI77" i="3"/>
  <c r="BJ77" i="3" s="1"/>
  <c r="BC77" i="3"/>
  <c r="BE77" i="3" s="1"/>
  <c r="BF77" i="3" s="1"/>
  <c r="BO77" i="3"/>
  <c r="BQ77" i="3" s="1"/>
  <c r="BR77" i="3" s="1"/>
  <c r="BV77" i="3"/>
  <c r="BW77" i="3"/>
  <c r="BX77" i="3" s="1"/>
  <c r="AI78" i="3"/>
  <c r="BM78" i="3"/>
  <c r="AY78" i="3"/>
  <c r="CF76" i="3"/>
  <c r="CG76" i="3"/>
  <c r="BS78" i="3"/>
  <c r="BG78" i="3"/>
  <c r="AC78" i="3"/>
  <c r="BY78" i="3" s="1"/>
  <c r="CA77" i="3"/>
  <c r="CE77" i="3"/>
  <c r="CB76" i="3"/>
  <c r="CC76" i="3"/>
  <c r="CD76" i="3" s="1"/>
  <c r="B79" i="3"/>
  <c r="A80" i="3"/>
  <c r="Q80" i="12" s="1"/>
  <c r="C79" i="3"/>
  <c r="AB79" i="3"/>
  <c r="I79" i="3"/>
  <c r="G79" i="3" s="1"/>
  <c r="AP79" i="3"/>
  <c r="T79" i="3"/>
  <c r="H79" i="3"/>
  <c r="AG79" i="3"/>
  <c r="L79" i="3"/>
  <c r="AU79" i="3"/>
  <c r="F79" i="3"/>
  <c r="AL79" i="3"/>
  <c r="AT79" i="3"/>
  <c r="AR79" i="3"/>
  <c r="AQ79" i="3"/>
  <c r="AO79" i="3"/>
  <c r="AN79" i="3"/>
  <c r="AV79" i="3"/>
  <c r="J79" i="3"/>
  <c r="AX79" i="3"/>
  <c r="AS79" i="3"/>
  <c r="AF79" i="3"/>
  <c r="AE79" i="3"/>
  <c r="AD79" i="3"/>
  <c r="AK79" i="3"/>
  <c r="AH79" i="3" s="1"/>
  <c r="D79" i="3"/>
  <c r="Z79" i="3"/>
  <c r="Y79" i="3"/>
  <c r="X79" i="3"/>
  <c r="W79" i="3"/>
  <c r="V79" i="3"/>
  <c r="U79" i="3"/>
  <c r="AA79" i="3"/>
  <c r="R79" i="3"/>
  <c r="Q79" i="3"/>
  <c r="P79" i="3"/>
  <c r="O79" i="3"/>
  <c r="N79" i="3"/>
  <c r="M79" i="3"/>
  <c r="S79" i="3"/>
  <c r="E79" i="3"/>
  <c r="K79" i="3"/>
  <c r="BU78" i="3" l="1"/>
  <c r="BV78" i="3" s="1"/>
  <c r="BA79" i="3"/>
  <c r="BB79" i="3"/>
  <c r="BZ79" i="3"/>
  <c r="BK77" i="3"/>
  <c r="BL77" i="3" s="1"/>
  <c r="BT79" i="3"/>
  <c r="BH79" i="3"/>
  <c r="BN79" i="3"/>
  <c r="AW80" i="3"/>
  <c r="AM80" i="3" s="1"/>
  <c r="BD77" i="3"/>
  <c r="BC78" i="3"/>
  <c r="BE78" i="3" s="1"/>
  <c r="BF78" i="3" s="1"/>
  <c r="BO78" i="3"/>
  <c r="BP78" i="3" s="1"/>
  <c r="BP77" i="3"/>
  <c r="AI79" i="3"/>
  <c r="BG79" i="3"/>
  <c r="CB77" i="3"/>
  <c r="CC77" i="3"/>
  <c r="CD77" i="3" s="1"/>
  <c r="CG77" i="3"/>
  <c r="CF77" i="3"/>
  <c r="BM79" i="3"/>
  <c r="AY79" i="3"/>
  <c r="BC79" i="3"/>
  <c r="BS79" i="3"/>
  <c r="BI78" i="3"/>
  <c r="CE78" i="3"/>
  <c r="CA78" i="3"/>
  <c r="AC79" i="3"/>
  <c r="BY79" i="3" s="1"/>
  <c r="F80" i="3"/>
  <c r="AX80" i="3"/>
  <c r="AK80" i="3"/>
  <c r="AH80" i="3" s="1"/>
  <c r="K80" i="3"/>
  <c r="AP80" i="3"/>
  <c r="AA80" i="3"/>
  <c r="AB80" i="3"/>
  <c r="H80" i="3"/>
  <c r="A81" i="3"/>
  <c r="Q81" i="12" s="1"/>
  <c r="U80" i="3"/>
  <c r="AQ80" i="3"/>
  <c r="Y80" i="3"/>
  <c r="AR80" i="3"/>
  <c r="AE80" i="3"/>
  <c r="O80" i="3"/>
  <c r="W80" i="3"/>
  <c r="M80" i="3"/>
  <c r="Z80" i="3"/>
  <c r="L80" i="3"/>
  <c r="AS80" i="3"/>
  <c r="AF80" i="3"/>
  <c r="Q80" i="3"/>
  <c r="P80" i="3"/>
  <c r="E80" i="3"/>
  <c r="R80" i="3"/>
  <c r="AG80" i="3"/>
  <c r="S80" i="3"/>
  <c r="D80" i="3"/>
  <c r="C80" i="3"/>
  <c r="AU80" i="3"/>
  <c r="J80" i="3"/>
  <c r="AV80" i="3"/>
  <c r="T80" i="3"/>
  <c r="AD80" i="3"/>
  <c r="B80" i="3"/>
  <c r="V80" i="3"/>
  <c r="AT80" i="3"/>
  <c r="I80" i="3"/>
  <c r="G80" i="3" s="1"/>
  <c r="N80" i="3"/>
  <c r="AL80" i="3"/>
  <c r="X80" i="3"/>
  <c r="AN80" i="3"/>
  <c r="AO80" i="3"/>
  <c r="BW78" i="3" l="1"/>
  <c r="BX78" i="3" s="1"/>
  <c r="BT80" i="3"/>
  <c r="BH80" i="3"/>
  <c r="BB80" i="3"/>
  <c r="BD78" i="3"/>
  <c r="BA80" i="3"/>
  <c r="BZ80" i="3"/>
  <c r="BN80" i="3"/>
  <c r="BQ78" i="3"/>
  <c r="BR78" i="3" s="1"/>
  <c r="AW81" i="3"/>
  <c r="AM81" i="3" s="1"/>
  <c r="BM80" i="3"/>
  <c r="BS80" i="3"/>
  <c r="AC80" i="3"/>
  <c r="BY80" i="3" s="1"/>
  <c r="BG80" i="3"/>
  <c r="BI80" i="3" s="1"/>
  <c r="BE79" i="3"/>
  <c r="BF79" i="3" s="1"/>
  <c r="BD79" i="3"/>
  <c r="AI80" i="3"/>
  <c r="CB78" i="3"/>
  <c r="CC78" i="3"/>
  <c r="CD78" i="3" s="1"/>
  <c r="AY80" i="3"/>
  <c r="BI79" i="3"/>
  <c r="CG78" i="3"/>
  <c r="CF78" i="3"/>
  <c r="BJ78" i="3"/>
  <c r="BK78" i="3"/>
  <c r="BL78" i="3" s="1"/>
  <c r="BU79" i="3"/>
  <c r="CE79" i="3"/>
  <c r="CA79" i="3"/>
  <c r="BO79" i="3"/>
  <c r="Z81" i="3"/>
  <c r="AP81" i="3"/>
  <c r="AN81" i="3"/>
  <c r="AA81" i="3"/>
  <c r="A82" i="3"/>
  <c r="Q82" i="12" s="1"/>
  <c r="AR81" i="3"/>
  <c r="AQ81" i="3"/>
  <c r="AL81" i="3"/>
  <c r="R81" i="3"/>
  <c r="AG81" i="3"/>
  <c r="AU81" i="3"/>
  <c r="AO81" i="3"/>
  <c r="AB81" i="3"/>
  <c r="M81" i="3"/>
  <c r="AE81" i="3"/>
  <c r="AS81" i="3"/>
  <c r="J81" i="3"/>
  <c r="Y81" i="3"/>
  <c r="AD81" i="3"/>
  <c r="O81" i="3"/>
  <c r="AT81" i="3"/>
  <c r="S81" i="3"/>
  <c r="AF81" i="3"/>
  <c r="B81" i="3"/>
  <c r="Q81" i="3"/>
  <c r="V81" i="3"/>
  <c r="P81" i="3"/>
  <c r="C81" i="3"/>
  <c r="AV81" i="3"/>
  <c r="U81" i="3"/>
  <c r="E81" i="3"/>
  <c r="L81" i="3"/>
  <c r="I81" i="3"/>
  <c r="G81" i="3" s="1"/>
  <c r="N81" i="3"/>
  <c r="D81" i="3"/>
  <c r="H81" i="3"/>
  <c r="T81" i="3"/>
  <c r="F81" i="3"/>
  <c r="AK81" i="3"/>
  <c r="AH81" i="3" s="1"/>
  <c r="W81" i="3"/>
  <c r="AX81" i="3"/>
  <c r="X81" i="3"/>
  <c r="K81" i="3"/>
  <c r="BU80" i="3" l="1"/>
  <c r="BA81" i="3"/>
  <c r="BO80" i="3"/>
  <c r="BQ80" i="3" s="1"/>
  <c r="BR80" i="3" s="1"/>
  <c r="BC80" i="3"/>
  <c r="BG81" i="3"/>
  <c r="BT81" i="3"/>
  <c r="BZ81" i="3"/>
  <c r="BN81" i="3"/>
  <c r="BB81" i="3"/>
  <c r="BH81" i="3"/>
  <c r="AW82" i="3"/>
  <c r="AM82" i="3" s="1"/>
  <c r="BS81" i="3"/>
  <c r="AI81" i="3"/>
  <c r="BJ80" i="3"/>
  <c r="BK80" i="3"/>
  <c r="BL80" i="3" s="1"/>
  <c r="BW80" i="3"/>
  <c r="BX80" i="3" s="1"/>
  <c r="BV80" i="3"/>
  <c r="BD80" i="3"/>
  <c r="BE80" i="3"/>
  <c r="BF80" i="3" s="1"/>
  <c r="BM81" i="3"/>
  <c r="BW79" i="3"/>
  <c r="BX79" i="3" s="1"/>
  <c r="BV79" i="3"/>
  <c r="BK79" i="3"/>
  <c r="BL79" i="3" s="1"/>
  <c r="BJ79" i="3"/>
  <c r="AY81" i="3"/>
  <c r="CE80" i="3"/>
  <c r="CA80" i="3"/>
  <c r="AC81" i="3"/>
  <c r="BY81" i="3" s="1"/>
  <c r="BQ79" i="3"/>
  <c r="BR79" i="3" s="1"/>
  <c r="BP79" i="3"/>
  <c r="CC79" i="3"/>
  <c r="CD79" i="3" s="1"/>
  <c r="CB79" i="3"/>
  <c r="CF79" i="3"/>
  <c r="CG79" i="3"/>
  <c r="AF82" i="3"/>
  <c r="D82" i="3"/>
  <c r="L82" i="3"/>
  <c r="AE82" i="3"/>
  <c r="AV82" i="3"/>
  <c r="S82" i="3"/>
  <c r="AP82" i="3"/>
  <c r="A83" i="3"/>
  <c r="Q83" i="12" s="1"/>
  <c r="AK82" i="3"/>
  <c r="AH82" i="3" s="1"/>
  <c r="B82" i="3"/>
  <c r="AL82" i="3"/>
  <c r="Q82" i="3"/>
  <c r="AX82" i="3"/>
  <c r="AT82" i="3"/>
  <c r="AG82" i="3"/>
  <c r="AA82" i="3"/>
  <c r="N82" i="3"/>
  <c r="X82" i="3"/>
  <c r="AU82" i="3"/>
  <c r="AN82" i="3"/>
  <c r="Z82" i="3"/>
  <c r="T82" i="3"/>
  <c r="AQ82" i="3"/>
  <c r="O82" i="3"/>
  <c r="E82" i="3"/>
  <c r="K82" i="3"/>
  <c r="AD82" i="3"/>
  <c r="U82" i="3"/>
  <c r="R82" i="3"/>
  <c r="H82" i="3"/>
  <c r="AB82" i="3"/>
  <c r="W82" i="3"/>
  <c r="AO82" i="3"/>
  <c r="AS82" i="3"/>
  <c r="V82" i="3"/>
  <c r="M82" i="3"/>
  <c r="J82" i="3"/>
  <c r="AR82" i="3"/>
  <c r="P82" i="3"/>
  <c r="I82" i="3"/>
  <c r="G82" i="3" s="1"/>
  <c r="C82" i="3"/>
  <c r="F82" i="3"/>
  <c r="Y82" i="3"/>
  <c r="BB82" i="3" l="1"/>
  <c r="BP80" i="3"/>
  <c r="BI81" i="3"/>
  <c r="BJ81" i="3" s="1"/>
  <c r="BA82" i="3"/>
  <c r="BH82" i="3"/>
  <c r="BZ82" i="3"/>
  <c r="BT82" i="3"/>
  <c r="BN82" i="3"/>
  <c r="AW83" i="3"/>
  <c r="AM83" i="3" s="1"/>
  <c r="BU81" i="3"/>
  <c r="BV81" i="3" s="1"/>
  <c r="AC82" i="3"/>
  <c r="BY82" i="3" s="1"/>
  <c r="AI82" i="3"/>
  <c r="BM82" i="3"/>
  <c r="CC80" i="3"/>
  <c r="CD80" i="3" s="1"/>
  <c r="CB80" i="3"/>
  <c r="CG80" i="3"/>
  <c r="CF80" i="3"/>
  <c r="BG82" i="3"/>
  <c r="BC81" i="3"/>
  <c r="CA81" i="3"/>
  <c r="CE81" i="3"/>
  <c r="BO81" i="3"/>
  <c r="BS82" i="3"/>
  <c r="AY82" i="3"/>
  <c r="AB83" i="3"/>
  <c r="X83" i="3"/>
  <c r="S83" i="3"/>
  <c r="C83" i="3"/>
  <c r="J83" i="3"/>
  <c r="V83" i="3"/>
  <c r="Y83" i="3"/>
  <c r="AF83" i="3"/>
  <c r="Z83" i="3"/>
  <c r="T83" i="3"/>
  <c r="P83" i="3"/>
  <c r="I83" i="3"/>
  <c r="G83" i="3" s="1"/>
  <c r="A84" i="3"/>
  <c r="Q84" i="12" s="1"/>
  <c r="AT83" i="3"/>
  <c r="E83" i="3"/>
  <c r="M83" i="3"/>
  <c r="L83" i="3"/>
  <c r="H83" i="3"/>
  <c r="AG83" i="3"/>
  <c r="AA83" i="3"/>
  <c r="AO83" i="3"/>
  <c r="AE83" i="3"/>
  <c r="U83" i="3"/>
  <c r="AK83" i="3"/>
  <c r="AH83" i="3" s="1"/>
  <c r="N83" i="3"/>
  <c r="B83" i="3"/>
  <c r="D83" i="3"/>
  <c r="O83" i="3"/>
  <c r="K83" i="3"/>
  <c r="AQ83" i="3"/>
  <c r="R83" i="3"/>
  <c r="AX83" i="3"/>
  <c r="AU83" i="3"/>
  <c r="W83" i="3"/>
  <c r="Q83" i="3"/>
  <c r="AS83" i="3"/>
  <c r="AR83" i="3"/>
  <c r="AD83" i="3"/>
  <c r="AN83" i="3"/>
  <c r="AV83" i="3"/>
  <c r="F83" i="3"/>
  <c r="AL83" i="3"/>
  <c r="AP83" i="3"/>
  <c r="BK81" i="3" l="1"/>
  <c r="BL81" i="3" s="1"/>
  <c r="BU82" i="3"/>
  <c r="BH83" i="3"/>
  <c r="BT83" i="3"/>
  <c r="BN83" i="3"/>
  <c r="BW81" i="3"/>
  <c r="BX81" i="3" s="1"/>
  <c r="BB83" i="3"/>
  <c r="BO82" i="3"/>
  <c r="BQ82" i="3" s="1"/>
  <c r="BR82" i="3" s="1"/>
  <c r="BA83" i="3"/>
  <c r="BZ83" i="3"/>
  <c r="AW84" i="3"/>
  <c r="BZ84" i="3" s="1"/>
  <c r="BC82" i="3"/>
  <c r="BD82" i="3" s="1"/>
  <c r="AI83" i="3"/>
  <c r="CB81" i="3"/>
  <c r="CC81" i="3"/>
  <c r="CD81" i="3" s="1"/>
  <c r="BM83" i="3"/>
  <c r="CA82" i="3"/>
  <c r="CE82" i="3"/>
  <c r="BI82" i="3"/>
  <c r="BS83" i="3"/>
  <c r="BW82" i="3"/>
  <c r="BX82" i="3" s="1"/>
  <c r="BV82" i="3"/>
  <c r="BQ81" i="3"/>
  <c r="BR81" i="3" s="1"/>
  <c r="BP81" i="3"/>
  <c r="BE81" i="3"/>
  <c r="BF81" i="3" s="1"/>
  <c r="BD81" i="3"/>
  <c r="CG81" i="3"/>
  <c r="CF81" i="3"/>
  <c r="AC83" i="3"/>
  <c r="BY83" i="3" s="1"/>
  <c r="BG83" i="3"/>
  <c r="AY83" i="3"/>
  <c r="P84" i="3"/>
  <c r="AE84" i="3"/>
  <c r="AC84" i="3" s="1"/>
  <c r="Z84" i="3"/>
  <c r="C84" i="3"/>
  <c r="AP84" i="3"/>
  <c r="K84" i="3"/>
  <c r="AV84" i="3"/>
  <c r="X84" i="3"/>
  <c r="H84" i="3"/>
  <c r="W84" i="3"/>
  <c r="AS84" i="3"/>
  <c r="AR84" i="3"/>
  <c r="M84" i="3"/>
  <c r="A85" i="3"/>
  <c r="Q85" i="12" s="1"/>
  <c r="U84" i="3"/>
  <c r="N84" i="3"/>
  <c r="AF84" i="3"/>
  <c r="Y84" i="3"/>
  <c r="O84" i="3"/>
  <c r="AK84" i="3"/>
  <c r="AH84" i="3" s="1"/>
  <c r="AI84" i="3" s="1"/>
  <c r="AT84" i="3"/>
  <c r="AD84" i="3"/>
  <c r="AB84" i="3"/>
  <c r="AG84" i="3"/>
  <c r="R84" i="3"/>
  <c r="AA84" i="3"/>
  <c r="AQ84" i="3"/>
  <c r="AX84" i="3"/>
  <c r="D84" i="3"/>
  <c r="AU84" i="3"/>
  <c r="T84" i="3"/>
  <c r="S84" i="3"/>
  <c r="E84" i="3"/>
  <c r="I84" i="3"/>
  <c r="G84" i="3" s="1"/>
  <c r="V84" i="3"/>
  <c r="AL84" i="3"/>
  <c r="AN84" i="3"/>
  <c r="AO84" i="3"/>
  <c r="L84" i="3"/>
  <c r="F84" i="3"/>
  <c r="B84" i="3"/>
  <c r="Q84" i="3"/>
  <c r="J84" i="3"/>
  <c r="BC83" i="3" l="1"/>
  <c r="BE83" i="3" s="1"/>
  <c r="BF83" i="3" s="1"/>
  <c r="AM84" i="3"/>
  <c r="BP82" i="3"/>
  <c r="BH84" i="3"/>
  <c r="BN84" i="3"/>
  <c r="BA84" i="3"/>
  <c r="BE82" i="3"/>
  <c r="BF82" i="3" s="1"/>
  <c r="BB84" i="3"/>
  <c r="BT84" i="3"/>
  <c r="AW85" i="3"/>
  <c r="AM85" i="3" s="1"/>
  <c r="BG84" i="3"/>
  <c r="BY84" i="3"/>
  <c r="BM84" i="3"/>
  <c r="BO84" i="3" s="1"/>
  <c r="BS84" i="3"/>
  <c r="BU83" i="3"/>
  <c r="BO83" i="3"/>
  <c r="CE83" i="3"/>
  <c r="CA83" i="3"/>
  <c r="BI83" i="3"/>
  <c r="BJ82" i="3"/>
  <c r="BK82" i="3"/>
  <c r="BL82" i="3" s="1"/>
  <c r="CF82" i="3"/>
  <c r="CG82" i="3"/>
  <c r="AY84" i="3"/>
  <c r="CB82" i="3"/>
  <c r="CC82" i="3"/>
  <c r="CD82" i="3" s="1"/>
  <c r="T85" i="3"/>
  <c r="AR85" i="3"/>
  <c r="W85" i="3"/>
  <c r="F85" i="3"/>
  <c r="V85" i="3"/>
  <c r="AN85" i="3"/>
  <c r="N85" i="3"/>
  <c r="L85" i="3"/>
  <c r="J85" i="3"/>
  <c r="B85" i="3"/>
  <c r="Q85" i="3"/>
  <c r="AK85" i="3"/>
  <c r="AH85" i="3" s="1"/>
  <c r="AQ85" i="3"/>
  <c r="D85" i="3"/>
  <c r="AA85" i="3"/>
  <c r="AX85" i="3"/>
  <c r="AU85" i="3"/>
  <c r="AV85" i="3"/>
  <c r="AG85" i="3"/>
  <c r="S85" i="3"/>
  <c r="AO85" i="3"/>
  <c r="Y85" i="3"/>
  <c r="Z85" i="3"/>
  <c r="AE85" i="3"/>
  <c r="AL85" i="3"/>
  <c r="K85" i="3"/>
  <c r="AF85" i="3"/>
  <c r="M85" i="3"/>
  <c r="E85" i="3"/>
  <c r="AP85" i="3"/>
  <c r="O85" i="3"/>
  <c r="I85" i="3"/>
  <c r="G85" i="3" s="1"/>
  <c r="AB85" i="3"/>
  <c r="H85" i="3"/>
  <c r="R85" i="3"/>
  <c r="AS85" i="3"/>
  <c r="C85" i="3"/>
  <c r="X85" i="3"/>
  <c r="AT85" i="3"/>
  <c r="A86" i="3"/>
  <c r="Q86" i="12" s="1"/>
  <c r="U85" i="3"/>
  <c r="AD85" i="3"/>
  <c r="P85" i="3"/>
  <c r="BD83" i="3" l="1"/>
  <c r="BI84" i="3"/>
  <c r="BJ84" i="3" s="1"/>
  <c r="BN85" i="3"/>
  <c r="BH85" i="3"/>
  <c r="BU84" i="3"/>
  <c r="BV84" i="3" s="1"/>
  <c r="BZ85" i="3"/>
  <c r="BA85" i="3"/>
  <c r="BS85" i="3"/>
  <c r="BT85" i="3"/>
  <c r="BB85" i="3"/>
  <c r="AW86" i="3"/>
  <c r="AM86" i="3" s="1"/>
  <c r="BK84" i="3"/>
  <c r="BL84" i="3" s="1"/>
  <c r="AI85" i="3"/>
  <c r="BM85" i="3"/>
  <c r="BO85" i="3" s="1"/>
  <c r="BQ84" i="3"/>
  <c r="BR84" i="3" s="1"/>
  <c r="BP84" i="3"/>
  <c r="CE84" i="3"/>
  <c r="CA84" i="3"/>
  <c r="BP83" i="3"/>
  <c r="BQ83" i="3"/>
  <c r="BR83" i="3" s="1"/>
  <c r="BW83" i="3"/>
  <c r="BX83" i="3" s="1"/>
  <c r="BV83" i="3"/>
  <c r="AY85" i="3"/>
  <c r="BJ83" i="3"/>
  <c r="BK83" i="3"/>
  <c r="BL83" i="3" s="1"/>
  <c r="BG85" i="3"/>
  <c r="AC85" i="3"/>
  <c r="BY85" i="3" s="1"/>
  <c r="CC83" i="3"/>
  <c r="CD83" i="3" s="1"/>
  <c r="CB83" i="3"/>
  <c r="CF83" i="3"/>
  <c r="CG83" i="3"/>
  <c r="BC84" i="3"/>
  <c r="P86" i="3"/>
  <c r="AE86" i="3"/>
  <c r="BT86" i="3" s="1"/>
  <c r="AL86" i="3"/>
  <c r="AG86" i="3"/>
  <c r="I86" i="3"/>
  <c r="G86" i="3" s="1"/>
  <c r="H86" i="3"/>
  <c r="W86" i="3"/>
  <c r="AS86" i="3"/>
  <c r="AQ86" i="3"/>
  <c r="Y86" i="3"/>
  <c r="J86" i="3"/>
  <c r="O86" i="3"/>
  <c r="AK86" i="3"/>
  <c r="AH86" i="3" s="1"/>
  <c r="AR86" i="3"/>
  <c r="K86" i="3"/>
  <c r="AP86" i="3"/>
  <c r="N86" i="3"/>
  <c r="B86" i="3"/>
  <c r="AB86" i="3"/>
  <c r="AD86" i="3"/>
  <c r="Q86" i="3"/>
  <c r="A87" i="3"/>
  <c r="Q87" i="12" s="1"/>
  <c r="U86" i="3"/>
  <c r="AU86" i="3"/>
  <c r="AN86" i="3"/>
  <c r="T86" i="3"/>
  <c r="R86" i="3"/>
  <c r="C86" i="3"/>
  <c r="Z86" i="3"/>
  <c r="AA86" i="3"/>
  <c r="AO86" i="3"/>
  <c r="L86" i="3"/>
  <c r="E86" i="3"/>
  <c r="AT86" i="3"/>
  <c r="M86" i="3"/>
  <c r="F86" i="3"/>
  <c r="X86" i="3"/>
  <c r="AX86" i="3"/>
  <c r="AF86" i="3"/>
  <c r="AV86" i="3"/>
  <c r="D86" i="3"/>
  <c r="V86" i="3"/>
  <c r="S86" i="3"/>
  <c r="BW84" i="3" l="1"/>
  <c r="BX84" i="3" s="1"/>
  <c r="BU85" i="3"/>
  <c r="BB86" i="3"/>
  <c r="BH86" i="3"/>
  <c r="BN86" i="3"/>
  <c r="BA86" i="3"/>
  <c r="BZ86" i="3"/>
  <c r="AW87" i="3"/>
  <c r="AM87" i="3" s="1"/>
  <c r="BI85" i="3"/>
  <c r="BK85" i="3" s="1"/>
  <c r="BL85" i="3" s="1"/>
  <c r="BW85" i="3"/>
  <c r="BX85" i="3" s="1"/>
  <c r="BV85" i="3"/>
  <c r="BM86" i="3"/>
  <c r="BS86" i="3"/>
  <c r="BU86" i="3" s="1"/>
  <c r="AC86" i="3"/>
  <c r="BY86" i="3" s="1"/>
  <c r="BG86" i="3"/>
  <c r="AI86" i="3"/>
  <c r="BQ85" i="3"/>
  <c r="BR85" i="3" s="1"/>
  <c r="BP85" i="3"/>
  <c r="AY86" i="3"/>
  <c r="CG84" i="3"/>
  <c r="CF84" i="3"/>
  <c r="BC85" i="3"/>
  <c r="BE84" i="3"/>
  <c r="BF84" i="3" s="1"/>
  <c r="BD84" i="3"/>
  <c r="CA85" i="3"/>
  <c r="CE85" i="3"/>
  <c r="CC84" i="3"/>
  <c r="CD84" i="3" s="1"/>
  <c r="CB84" i="3"/>
  <c r="A88" i="3"/>
  <c r="Q88" i="12" s="1"/>
  <c r="K87" i="3"/>
  <c r="J87" i="3"/>
  <c r="AT87" i="3"/>
  <c r="F87" i="3"/>
  <c r="D87" i="3"/>
  <c r="AS87" i="3"/>
  <c r="C87" i="3"/>
  <c r="R87" i="3"/>
  <c r="AE87" i="3"/>
  <c r="AC87" i="3" s="1"/>
  <c r="AA87" i="3"/>
  <c r="AU87" i="3"/>
  <c r="S87" i="3"/>
  <c r="U87" i="3"/>
  <c r="AK87" i="3"/>
  <c r="AH87" i="3" s="1"/>
  <c r="AP87" i="3"/>
  <c r="AV87" i="3"/>
  <c r="AQ87" i="3"/>
  <c r="AN87" i="3"/>
  <c r="P87" i="3"/>
  <c r="H87" i="3"/>
  <c r="AB87" i="3"/>
  <c r="AO87" i="3"/>
  <c r="V87" i="3"/>
  <c r="AD87" i="3"/>
  <c r="O87" i="3"/>
  <c r="M87" i="3"/>
  <c r="T87" i="3"/>
  <c r="AR87" i="3"/>
  <c r="AF87" i="3"/>
  <c r="I87" i="3"/>
  <c r="G87" i="3" s="1"/>
  <c r="Q87" i="3"/>
  <c r="Y87" i="3"/>
  <c r="W87" i="3"/>
  <c r="L87" i="3"/>
  <c r="X87" i="3"/>
  <c r="AX87" i="3"/>
  <c r="E87" i="3"/>
  <c r="N87" i="3"/>
  <c r="B87" i="3"/>
  <c r="AL87" i="3"/>
  <c r="AG87" i="3"/>
  <c r="Z87" i="3"/>
  <c r="BB87" i="3" l="1"/>
  <c r="BH87" i="3"/>
  <c r="BN87" i="3"/>
  <c r="BA87" i="3"/>
  <c r="BC87" i="3" s="1"/>
  <c r="BJ85" i="3"/>
  <c r="AI87" i="3"/>
  <c r="BT87" i="3"/>
  <c r="BZ87" i="3"/>
  <c r="AW88" i="3"/>
  <c r="AM88" i="3" s="1"/>
  <c r="BS87" i="3"/>
  <c r="BO86" i="3"/>
  <c r="BQ86" i="3" s="1"/>
  <c r="BR86" i="3" s="1"/>
  <c r="AY87" i="3"/>
  <c r="CE87" i="3" s="1"/>
  <c r="CG87" i="3" s="1"/>
  <c r="BC86" i="3"/>
  <c r="BE86" i="3" s="1"/>
  <c r="BF86" i="3" s="1"/>
  <c r="BY87" i="3"/>
  <c r="BI86" i="3"/>
  <c r="BW86" i="3"/>
  <c r="BX86" i="3" s="1"/>
  <c r="BV86" i="3"/>
  <c r="CB85" i="3"/>
  <c r="CC85" i="3"/>
  <c r="CD85" i="3" s="1"/>
  <c r="BD85" i="3"/>
  <c r="BE85" i="3"/>
  <c r="BF85" i="3" s="1"/>
  <c r="CF85" i="3"/>
  <c r="CG85" i="3"/>
  <c r="BM87" i="3"/>
  <c r="BG87" i="3"/>
  <c r="CE86" i="3"/>
  <c r="CA86" i="3"/>
  <c r="I88" i="3"/>
  <c r="G88" i="3" s="1"/>
  <c r="X88" i="3"/>
  <c r="AN88" i="3"/>
  <c r="T88" i="3"/>
  <c r="AX88" i="3"/>
  <c r="AR88" i="3"/>
  <c r="AD88" i="3"/>
  <c r="AO88" i="3"/>
  <c r="P88" i="3"/>
  <c r="AE88" i="3"/>
  <c r="AC88" i="3" s="1"/>
  <c r="L88" i="3"/>
  <c r="AA88" i="3"/>
  <c r="V88" i="3"/>
  <c r="K88" i="3"/>
  <c r="C88" i="3"/>
  <c r="AQ88" i="3"/>
  <c r="E88" i="3"/>
  <c r="H88" i="3"/>
  <c r="W88" i="3"/>
  <c r="AT88" i="3"/>
  <c r="D88" i="3"/>
  <c r="F88" i="3"/>
  <c r="B88" i="3"/>
  <c r="S88" i="3"/>
  <c r="O88" i="3"/>
  <c r="AL88" i="3"/>
  <c r="J88" i="3"/>
  <c r="Y88" i="3"/>
  <c r="N88" i="3"/>
  <c r="AF88" i="3"/>
  <c r="AP88" i="3"/>
  <c r="AU88" i="3"/>
  <c r="AK88" i="3"/>
  <c r="AH88" i="3" s="1"/>
  <c r="Q88" i="3"/>
  <c r="AB88" i="3"/>
  <c r="AG88" i="3"/>
  <c r="A89" i="3"/>
  <c r="Q89" i="12" s="1"/>
  <c r="U88" i="3"/>
  <c r="AS88" i="3"/>
  <c r="Z88" i="3"/>
  <c r="R88" i="3"/>
  <c r="M88" i="3"/>
  <c r="AV88" i="3"/>
  <c r="BP86" i="3" l="1"/>
  <c r="BU87" i="3"/>
  <c r="BZ88" i="3"/>
  <c r="BT88" i="3"/>
  <c r="BA88" i="3"/>
  <c r="BB88" i="3"/>
  <c r="BH88" i="3"/>
  <c r="BN88" i="3"/>
  <c r="BO88" i="3" s="1"/>
  <c r="AW89" i="3"/>
  <c r="AM89" i="3" s="1"/>
  <c r="BM88" i="3"/>
  <c r="BO87" i="3"/>
  <c r="BP87" i="3" s="1"/>
  <c r="BD86" i="3"/>
  <c r="AI88" i="3"/>
  <c r="CA87" i="3"/>
  <c r="CB87" i="3" s="1"/>
  <c r="BY88" i="3"/>
  <c r="CF87" i="3"/>
  <c r="BV87" i="3"/>
  <c r="BW87" i="3"/>
  <c r="BX87" i="3" s="1"/>
  <c r="BJ86" i="3"/>
  <c r="BK86" i="3"/>
  <c r="BL86" i="3" s="1"/>
  <c r="BD87" i="3"/>
  <c r="BE87" i="3"/>
  <c r="BF87" i="3" s="1"/>
  <c r="AY88" i="3"/>
  <c r="CC86" i="3"/>
  <c r="CD86" i="3" s="1"/>
  <c r="CB86" i="3"/>
  <c r="BS88" i="3"/>
  <c r="CG86" i="3"/>
  <c r="CF86" i="3"/>
  <c r="BG88" i="3"/>
  <c r="BI87" i="3"/>
  <c r="A90" i="3"/>
  <c r="Q90" i="12" s="1"/>
  <c r="U89" i="3"/>
  <c r="AS89" i="3"/>
  <c r="C89" i="3"/>
  <c r="Q89" i="3"/>
  <c r="AF89" i="3"/>
  <c r="AX89" i="3"/>
  <c r="AU89" i="3"/>
  <c r="AQ89" i="3"/>
  <c r="J89" i="3"/>
  <c r="AL89" i="3"/>
  <c r="M89" i="3"/>
  <c r="AK89" i="3"/>
  <c r="AH89" i="3" s="1"/>
  <c r="I89" i="3"/>
  <c r="G89" i="3" s="1"/>
  <c r="X89" i="3"/>
  <c r="AD89" i="3"/>
  <c r="W89" i="3"/>
  <c r="AE89" i="3"/>
  <c r="AO89" i="3"/>
  <c r="E89" i="3"/>
  <c r="AB89" i="3"/>
  <c r="P89" i="3"/>
  <c r="B89" i="3"/>
  <c r="O89" i="3"/>
  <c r="T89" i="3"/>
  <c r="AR89" i="3"/>
  <c r="H89" i="3"/>
  <c r="V89" i="3"/>
  <c r="R89" i="3"/>
  <c r="Y89" i="3"/>
  <c r="L89" i="3"/>
  <c r="AV89" i="3"/>
  <c r="S89" i="3"/>
  <c r="AG89" i="3"/>
  <c r="F89" i="3"/>
  <c r="K89" i="3"/>
  <c r="AT89" i="3"/>
  <c r="D89" i="3"/>
  <c r="AA89" i="3"/>
  <c r="AP89" i="3"/>
  <c r="Z89" i="3"/>
  <c r="AN89" i="3"/>
  <c r="N89" i="3"/>
  <c r="BB89" i="3" l="1"/>
  <c r="BH89" i="3"/>
  <c r="BQ87" i="3"/>
  <c r="BR87" i="3" s="1"/>
  <c r="BT89" i="3"/>
  <c r="BA89" i="3"/>
  <c r="BZ89" i="3"/>
  <c r="BN89" i="3"/>
  <c r="AW90" i="3"/>
  <c r="AM90" i="3" s="1"/>
  <c r="CC87" i="3"/>
  <c r="CD87" i="3" s="1"/>
  <c r="AI89" i="3"/>
  <c r="BC88" i="3"/>
  <c r="BE88" i="3" s="1"/>
  <c r="BF88" i="3" s="1"/>
  <c r="BG89" i="3"/>
  <c r="BS89" i="3"/>
  <c r="BJ87" i="3"/>
  <c r="BK87" i="3"/>
  <c r="BL87" i="3" s="1"/>
  <c r="BP88" i="3"/>
  <c r="BQ88" i="3"/>
  <c r="BR88" i="3" s="1"/>
  <c r="BI88" i="3"/>
  <c r="AC89" i="3"/>
  <c r="BY89" i="3" s="1"/>
  <c r="BM89" i="3"/>
  <c r="AY89" i="3"/>
  <c r="BU88" i="3"/>
  <c r="CE88" i="3"/>
  <c r="CA88" i="3"/>
  <c r="O90" i="3"/>
  <c r="AS90" i="3"/>
  <c r="V90" i="3"/>
  <c r="AR90" i="3"/>
  <c r="F90" i="3"/>
  <c r="AP90" i="3"/>
  <c r="U90" i="3"/>
  <c r="AK90" i="3"/>
  <c r="AH90" i="3" s="1"/>
  <c r="AU90" i="3"/>
  <c r="A91" i="3"/>
  <c r="Q91" i="12" s="1"/>
  <c r="AG90" i="3"/>
  <c r="M90" i="3"/>
  <c r="AB90" i="3"/>
  <c r="AD90" i="3"/>
  <c r="Z90" i="3"/>
  <c r="N90" i="3"/>
  <c r="AL90" i="3"/>
  <c r="Y90" i="3"/>
  <c r="AO90" i="3"/>
  <c r="E90" i="3"/>
  <c r="T90" i="3"/>
  <c r="J90" i="3"/>
  <c r="C90" i="3"/>
  <c r="Q90" i="3"/>
  <c r="AF90" i="3"/>
  <c r="AV90" i="3"/>
  <c r="L90" i="3"/>
  <c r="K90" i="3"/>
  <c r="I90" i="3"/>
  <c r="G90" i="3" s="1"/>
  <c r="X90" i="3"/>
  <c r="AN90" i="3"/>
  <c r="D90" i="3"/>
  <c r="AX90" i="3"/>
  <c r="AQ90" i="3"/>
  <c r="W90" i="3"/>
  <c r="R90" i="3"/>
  <c r="P90" i="3"/>
  <c r="AE90" i="3"/>
  <c r="AT90" i="3"/>
  <c r="AA90" i="3"/>
  <c r="S90" i="3"/>
  <c r="B90" i="3"/>
  <c r="H90" i="3"/>
  <c r="BB90" i="3" l="1"/>
  <c r="BH90" i="3"/>
  <c r="BA90" i="3"/>
  <c r="BT90" i="3"/>
  <c r="BZ90" i="3"/>
  <c r="BN90" i="3"/>
  <c r="AW91" i="3"/>
  <c r="AM91" i="3" s="1"/>
  <c r="BI89" i="3"/>
  <c r="BK89" i="3" s="1"/>
  <c r="BL89" i="3" s="1"/>
  <c r="BC89" i="3"/>
  <c r="BE89" i="3" s="1"/>
  <c r="BF89" i="3" s="1"/>
  <c r="BD88" i="3"/>
  <c r="BO89" i="3"/>
  <c r="BP89" i="3" s="1"/>
  <c r="AY90" i="3"/>
  <c r="BG90" i="3"/>
  <c r="AI90" i="3"/>
  <c r="BS90" i="3"/>
  <c r="BD89" i="3"/>
  <c r="AC90" i="3"/>
  <c r="BY90" i="3" s="1"/>
  <c r="CC88" i="3"/>
  <c r="CD88" i="3" s="1"/>
  <c r="CB88" i="3"/>
  <c r="CF88" i="3"/>
  <c r="CG88" i="3"/>
  <c r="BM90" i="3"/>
  <c r="BW88" i="3"/>
  <c r="BX88" i="3" s="1"/>
  <c r="BV88" i="3"/>
  <c r="BU89" i="3"/>
  <c r="CA89" i="3"/>
  <c r="CE89" i="3"/>
  <c r="BK88" i="3"/>
  <c r="BL88" i="3" s="1"/>
  <c r="BJ88" i="3"/>
  <c r="Z91" i="3"/>
  <c r="AP91" i="3"/>
  <c r="O91" i="3"/>
  <c r="H91" i="3"/>
  <c r="AR91" i="3"/>
  <c r="R91" i="3"/>
  <c r="AG91" i="3"/>
  <c r="AU91" i="3"/>
  <c r="AO91" i="3"/>
  <c r="C91" i="3"/>
  <c r="AV91" i="3"/>
  <c r="D91" i="3"/>
  <c r="K91" i="3"/>
  <c r="AB91" i="3"/>
  <c r="J91" i="3"/>
  <c r="Y91" i="3"/>
  <c r="AD91" i="3"/>
  <c r="W91" i="3"/>
  <c r="AE91" i="3"/>
  <c r="B91" i="3"/>
  <c r="Q91" i="3"/>
  <c r="V91" i="3"/>
  <c r="AK91" i="3"/>
  <c r="AH91" i="3" s="1"/>
  <c r="S91" i="3"/>
  <c r="M91" i="3"/>
  <c r="I91" i="3"/>
  <c r="G91" i="3" s="1"/>
  <c r="N91" i="3"/>
  <c r="X91" i="3"/>
  <c r="AS91" i="3"/>
  <c r="AQ91" i="3"/>
  <c r="F91" i="3"/>
  <c r="AL91" i="3"/>
  <c r="L91" i="3"/>
  <c r="AF91" i="3"/>
  <c r="P91" i="3"/>
  <c r="U91" i="3"/>
  <c r="AX91" i="3"/>
  <c r="AN91" i="3"/>
  <c r="AA91" i="3"/>
  <c r="A92" i="3"/>
  <c r="Q92" i="12" s="1"/>
  <c r="AT91" i="3"/>
  <c r="T91" i="3"/>
  <c r="E91" i="3"/>
  <c r="BJ89" i="3" l="1"/>
  <c r="BA91" i="3"/>
  <c r="BH91" i="3"/>
  <c r="BT91" i="3"/>
  <c r="BN91" i="3"/>
  <c r="BB91" i="3"/>
  <c r="BC91" i="3" s="1"/>
  <c r="BZ91" i="3"/>
  <c r="AW92" i="3"/>
  <c r="BZ92" i="3" s="1"/>
  <c r="BI90" i="3"/>
  <c r="BK90" i="3" s="1"/>
  <c r="BL90" i="3" s="1"/>
  <c r="BQ89" i="3"/>
  <c r="BR89" i="3" s="1"/>
  <c r="CA90" i="3"/>
  <c r="BS91" i="3"/>
  <c r="BU91" i="3" s="1"/>
  <c r="BO90" i="3"/>
  <c r="BP90" i="3" s="1"/>
  <c r="BM91" i="3"/>
  <c r="CE90" i="3"/>
  <c r="CF90" i="3" s="1"/>
  <c r="BU90" i="3"/>
  <c r="BV90" i="3" s="1"/>
  <c r="BC90" i="3"/>
  <c r="BE90" i="3" s="1"/>
  <c r="BF90" i="3" s="1"/>
  <c r="BG91" i="3"/>
  <c r="AC91" i="3"/>
  <c r="BY91" i="3" s="1"/>
  <c r="AI91" i="3"/>
  <c r="CB89" i="3"/>
  <c r="CC89" i="3"/>
  <c r="CD89" i="3" s="1"/>
  <c r="AY91" i="3"/>
  <c r="BW89" i="3"/>
  <c r="BX89" i="3" s="1"/>
  <c r="BV89" i="3"/>
  <c r="CG89" i="3"/>
  <c r="CF89" i="3"/>
  <c r="BJ90" i="3"/>
  <c r="N92" i="3"/>
  <c r="AL92" i="3"/>
  <c r="AP92" i="3"/>
  <c r="AB92" i="3"/>
  <c r="O92" i="3"/>
  <c r="F92" i="3"/>
  <c r="AX92" i="3"/>
  <c r="AR92" i="3"/>
  <c r="AE92" i="3"/>
  <c r="AC92" i="3" s="1"/>
  <c r="P92" i="3"/>
  <c r="AV92" i="3"/>
  <c r="A93" i="3"/>
  <c r="Q93" i="12" s="1"/>
  <c r="U92" i="3"/>
  <c r="AQ92" i="3"/>
  <c r="AS92" i="3"/>
  <c r="AF92" i="3"/>
  <c r="Q92" i="3"/>
  <c r="C92" i="3"/>
  <c r="X92" i="3"/>
  <c r="AA92" i="3"/>
  <c r="M92" i="3"/>
  <c r="Z92" i="3"/>
  <c r="AG92" i="3"/>
  <c r="S92" i="3"/>
  <c r="D92" i="3"/>
  <c r="AK92" i="3"/>
  <c r="AH92" i="3" s="1"/>
  <c r="AI92" i="3" s="1"/>
  <c r="K92" i="3"/>
  <c r="E92" i="3"/>
  <c r="R92" i="3"/>
  <c r="T92" i="3"/>
  <c r="Y92" i="3"/>
  <c r="AU92" i="3"/>
  <c r="J92" i="3"/>
  <c r="H92" i="3"/>
  <c r="L92" i="3"/>
  <c r="W92" i="3"/>
  <c r="AT92" i="3"/>
  <c r="AD92" i="3"/>
  <c r="B92" i="3"/>
  <c r="AN92" i="3"/>
  <c r="I92" i="3"/>
  <c r="G92" i="3" s="1"/>
  <c r="V92" i="3"/>
  <c r="AO92" i="3"/>
  <c r="BQ90" i="3" l="1"/>
  <c r="BR90" i="3" s="1"/>
  <c r="AM92" i="3"/>
  <c r="BB92" i="3"/>
  <c r="BH92" i="3"/>
  <c r="BN92" i="3"/>
  <c r="BA92" i="3"/>
  <c r="BT92" i="3"/>
  <c r="AW93" i="3"/>
  <c r="BZ93" i="3" s="1"/>
  <c r="BO91" i="3"/>
  <c r="BQ91" i="3" s="1"/>
  <c r="BR91" i="3" s="1"/>
  <c r="BW90" i="3"/>
  <c r="BX90" i="3" s="1"/>
  <c r="CG90" i="3"/>
  <c r="BM92" i="3"/>
  <c r="BD90" i="3"/>
  <c r="BI91" i="3"/>
  <c r="BK91" i="3" s="1"/>
  <c r="BL91" i="3" s="1"/>
  <c r="BY92" i="3"/>
  <c r="BS92" i="3"/>
  <c r="BG92" i="3"/>
  <c r="BW91" i="3"/>
  <c r="BX91" i="3" s="1"/>
  <c r="BV91" i="3"/>
  <c r="CB90" i="3"/>
  <c r="CC90" i="3"/>
  <c r="CD90" i="3" s="1"/>
  <c r="AY92" i="3"/>
  <c r="BE91" i="3"/>
  <c r="BF91" i="3" s="1"/>
  <c r="BD91" i="3"/>
  <c r="CE91" i="3"/>
  <c r="CA91" i="3"/>
  <c r="A94" i="3"/>
  <c r="Q94" i="12" s="1"/>
  <c r="I93" i="3"/>
  <c r="G93" i="3" s="1"/>
  <c r="V93" i="3"/>
  <c r="L93" i="3"/>
  <c r="AV93" i="3"/>
  <c r="AO93" i="3"/>
  <c r="N93" i="3"/>
  <c r="U93" i="3"/>
  <c r="AP93" i="3"/>
  <c r="AB93" i="3"/>
  <c r="F93" i="3"/>
  <c r="H93" i="3"/>
  <c r="O93" i="3"/>
  <c r="X93" i="3"/>
  <c r="AR93" i="3"/>
  <c r="AS93" i="3"/>
  <c r="P93" i="3"/>
  <c r="C93" i="3"/>
  <c r="Z93" i="3"/>
  <c r="AQ93" i="3"/>
  <c r="W93" i="3"/>
  <c r="AE93" i="3"/>
  <c r="D93" i="3"/>
  <c r="AD93" i="3"/>
  <c r="AT93" i="3"/>
  <c r="R93" i="3"/>
  <c r="AG93" i="3"/>
  <c r="AX93" i="3"/>
  <c r="K93" i="3"/>
  <c r="AU93" i="3"/>
  <c r="S93" i="3"/>
  <c r="AA93" i="3"/>
  <c r="B93" i="3"/>
  <c r="T93" i="3"/>
  <c r="AL93" i="3"/>
  <c r="J93" i="3"/>
  <c r="Y93" i="3"/>
  <c r="AN93" i="3"/>
  <c r="AK93" i="3"/>
  <c r="AH93" i="3" s="1"/>
  <c r="AF93" i="3"/>
  <c r="E93" i="3"/>
  <c r="M93" i="3"/>
  <c r="Q93" i="3"/>
  <c r="BN93" i="3" l="1"/>
  <c r="BO92" i="3"/>
  <c r="BP92" i="3" s="1"/>
  <c r="AM93" i="3"/>
  <c r="BT93" i="3"/>
  <c r="BB93" i="3"/>
  <c r="BA93" i="3"/>
  <c r="BH93" i="3"/>
  <c r="BP91" i="3"/>
  <c r="AW94" i="3"/>
  <c r="AM94" i="3" s="1"/>
  <c r="BJ91" i="3"/>
  <c r="BI92" i="3"/>
  <c r="BK92" i="3" s="1"/>
  <c r="BL92" i="3" s="1"/>
  <c r="BC92" i="3"/>
  <c r="BD92" i="3" s="1"/>
  <c r="BU92" i="3"/>
  <c r="BV92" i="3" s="1"/>
  <c r="AY93" i="3"/>
  <c r="AI93" i="3"/>
  <c r="BJ92" i="3"/>
  <c r="CE92" i="3"/>
  <c r="CA92" i="3"/>
  <c r="BM93" i="3"/>
  <c r="CB91" i="3"/>
  <c r="CC91" i="3"/>
  <c r="CD91" i="3" s="1"/>
  <c r="AC93" i="3"/>
  <c r="BY93" i="3" s="1"/>
  <c r="BS93" i="3"/>
  <c r="BG93" i="3"/>
  <c r="CF91" i="3"/>
  <c r="CG91" i="3"/>
  <c r="I94" i="3"/>
  <c r="G94" i="3" s="1"/>
  <c r="X94" i="3"/>
  <c r="V94" i="3"/>
  <c r="S94" i="3"/>
  <c r="C94" i="3"/>
  <c r="L94" i="3"/>
  <c r="Q94" i="3"/>
  <c r="A95" i="3"/>
  <c r="Q95" i="12" s="1"/>
  <c r="W94" i="3"/>
  <c r="M94" i="3"/>
  <c r="J94" i="3"/>
  <c r="Z94" i="3"/>
  <c r="AU94" i="3"/>
  <c r="N94" i="3"/>
  <c r="D94" i="3"/>
  <c r="H94" i="3"/>
  <c r="AK94" i="3"/>
  <c r="AH94" i="3" s="1"/>
  <c r="AD94" i="3"/>
  <c r="AF94" i="3"/>
  <c r="E94" i="3"/>
  <c r="T94" i="3"/>
  <c r="AV94" i="3"/>
  <c r="O94" i="3"/>
  <c r="AS94" i="3"/>
  <c r="AP94" i="3"/>
  <c r="AQ94" i="3"/>
  <c r="F94" i="3"/>
  <c r="AE94" i="3"/>
  <c r="BG94" i="3" s="1"/>
  <c r="AR94" i="3"/>
  <c r="AG94" i="3"/>
  <c r="AA94" i="3"/>
  <c r="AL94" i="3"/>
  <c r="P94" i="3"/>
  <c r="AB94" i="3"/>
  <c r="AT94" i="3"/>
  <c r="R94" i="3"/>
  <c r="Y94" i="3"/>
  <c r="AO94" i="3"/>
  <c r="AN94" i="3"/>
  <c r="K94" i="3"/>
  <c r="U94" i="3"/>
  <c r="AX94" i="3"/>
  <c r="B94" i="3"/>
  <c r="BQ92" i="3" l="1"/>
  <c r="BR92" i="3" s="1"/>
  <c r="BC93" i="3"/>
  <c r="BD93" i="3" s="1"/>
  <c r="BH94" i="3"/>
  <c r="BI94" i="3" s="1"/>
  <c r="BT94" i="3"/>
  <c r="BN94" i="3"/>
  <c r="BA94" i="3"/>
  <c r="BZ94" i="3"/>
  <c r="BB94" i="3"/>
  <c r="AW95" i="3"/>
  <c r="AM95" i="3" s="1"/>
  <c r="BE92" i="3"/>
  <c r="BF92" i="3" s="1"/>
  <c r="BW92" i="3"/>
  <c r="BX92" i="3" s="1"/>
  <c r="BO93" i="3"/>
  <c r="BQ93" i="3" s="1"/>
  <c r="BR93" i="3" s="1"/>
  <c r="CE93" i="3"/>
  <c r="CG93" i="3" s="1"/>
  <c r="AI94" i="3"/>
  <c r="BM94" i="3"/>
  <c r="AC94" i="3"/>
  <c r="BY94" i="3" s="1"/>
  <c r="BS94" i="3"/>
  <c r="AY94" i="3"/>
  <c r="BI93" i="3"/>
  <c r="CB92" i="3"/>
  <c r="CC92" i="3"/>
  <c r="CD92" i="3" s="1"/>
  <c r="BU93" i="3"/>
  <c r="CG92" i="3"/>
  <c r="CF92" i="3"/>
  <c r="CA93" i="3"/>
  <c r="BE93" i="3"/>
  <c r="BF93" i="3" s="1"/>
  <c r="A96" i="3"/>
  <c r="Q96" i="12" s="1"/>
  <c r="U95" i="3"/>
  <c r="AS95" i="3"/>
  <c r="AF95" i="3"/>
  <c r="O95" i="3"/>
  <c r="K95" i="3"/>
  <c r="F95" i="3"/>
  <c r="AN95" i="3"/>
  <c r="AA95" i="3"/>
  <c r="M95" i="3"/>
  <c r="AK95" i="3"/>
  <c r="AH95" i="3" s="1"/>
  <c r="AV95" i="3"/>
  <c r="S95" i="3"/>
  <c r="B95" i="3"/>
  <c r="W95" i="3"/>
  <c r="E95" i="3"/>
  <c r="AB95" i="3"/>
  <c r="AP95" i="3"/>
  <c r="V95" i="3"/>
  <c r="Z95" i="3"/>
  <c r="T95" i="3"/>
  <c r="AG95" i="3"/>
  <c r="H95" i="3"/>
  <c r="AD95" i="3"/>
  <c r="AQ95" i="3"/>
  <c r="L95" i="3"/>
  <c r="Y95" i="3"/>
  <c r="N95" i="3"/>
  <c r="J95" i="3"/>
  <c r="X95" i="3"/>
  <c r="R95" i="3"/>
  <c r="AT95" i="3"/>
  <c r="D95" i="3"/>
  <c r="Q95" i="3"/>
  <c r="C95" i="3"/>
  <c r="P95" i="3"/>
  <c r="AE95" i="3"/>
  <c r="BT95" i="3" s="1"/>
  <c r="AL95" i="3"/>
  <c r="I95" i="3"/>
  <c r="G95" i="3" s="1"/>
  <c r="AO95" i="3"/>
  <c r="AX95" i="3"/>
  <c r="AR95" i="3"/>
  <c r="AU95" i="3"/>
  <c r="BN95" i="3" l="1"/>
  <c r="BC94" i="3"/>
  <c r="BP93" i="3"/>
  <c r="BZ95" i="3"/>
  <c r="BB95" i="3"/>
  <c r="BH95" i="3"/>
  <c r="BA95" i="3"/>
  <c r="BC95" i="3" s="1"/>
  <c r="AW96" i="3"/>
  <c r="AM96" i="3" s="1"/>
  <c r="CF93" i="3"/>
  <c r="BU94" i="3"/>
  <c r="AC95" i="3"/>
  <c r="BY95" i="3" s="1"/>
  <c r="BM95" i="3"/>
  <c r="BO95" i="3" s="1"/>
  <c r="BS95" i="3"/>
  <c r="AI95" i="3"/>
  <c r="BD94" i="3"/>
  <c r="BE94" i="3"/>
  <c r="BF94" i="3" s="1"/>
  <c r="BJ94" i="3"/>
  <c r="BK94" i="3"/>
  <c r="BL94" i="3" s="1"/>
  <c r="CB93" i="3"/>
  <c r="CC93" i="3"/>
  <c r="CD93" i="3" s="1"/>
  <c r="CA94" i="3"/>
  <c r="CE94" i="3"/>
  <c r="BO94" i="3"/>
  <c r="AY95" i="3"/>
  <c r="BV94" i="3"/>
  <c r="BW94" i="3"/>
  <c r="BX94" i="3" s="1"/>
  <c r="BV93" i="3"/>
  <c r="BW93" i="3"/>
  <c r="BX93" i="3" s="1"/>
  <c r="BK93" i="3"/>
  <c r="BL93" i="3" s="1"/>
  <c r="BJ93" i="3"/>
  <c r="BG95" i="3"/>
  <c r="I96" i="3"/>
  <c r="G96" i="3" s="1"/>
  <c r="X96" i="3"/>
  <c r="AT96" i="3"/>
  <c r="Z96" i="3"/>
  <c r="V96" i="3"/>
  <c r="AE96" i="3"/>
  <c r="M96" i="3"/>
  <c r="P96" i="3"/>
  <c r="AL96" i="3"/>
  <c r="AN96" i="3"/>
  <c r="L96" i="3"/>
  <c r="AV96" i="3"/>
  <c r="C96" i="3"/>
  <c r="R96" i="3"/>
  <c r="AP96" i="3"/>
  <c r="O96" i="3"/>
  <c r="H96" i="3"/>
  <c r="AA96" i="3"/>
  <c r="AD96" i="3"/>
  <c r="AR96" i="3"/>
  <c r="B96" i="3"/>
  <c r="A97" i="3"/>
  <c r="Q97" i="12" s="1"/>
  <c r="U96" i="3"/>
  <c r="N96" i="3"/>
  <c r="J96" i="3"/>
  <c r="W96" i="3"/>
  <c r="D96" i="3"/>
  <c r="AK96" i="3"/>
  <c r="AH96" i="3" s="1"/>
  <c r="AG96" i="3"/>
  <c r="E96" i="3"/>
  <c r="AU96" i="3"/>
  <c r="AS96" i="3"/>
  <c r="S96" i="3"/>
  <c r="AX96" i="3"/>
  <c r="Y96" i="3"/>
  <c r="AO96" i="3"/>
  <c r="T96" i="3"/>
  <c r="AB96" i="3"/>
  <c r="K96" i="3"/>
  <c r="Q96" i="3"/>
  <c r="AF96" i="3"/>
  <c r="F96" i="3"/>
  <c r="AQ96" i="3"/>
  <c r="BB96" i="3" l="1"/>
  <c r="BA96" i="3"/>
  <c r="BZ96" i="3"/>
  <c r="BT96" i="3"/>
  <c r="BH96" i="3"/>
  <c r="BN96" i="3"/>
  <c r="AW97" i="3"/>
  <c r="AM97" i="3" s="1"/>
  <c r="BU95" i="3"/>
  <c r="BV95" i="3" s="1"/>
  <c r="BM96" i="3"/>
  <c r="BG96" i="3"/>
  <c r="BS96" i="3"/>
  <c r="AY96" i="3"/>
  <c r="BD95" i="3"/>
  <c r="BE95" i="3"/>
  <c r="BF95" i="3" s="1"/>
  <c r="BI96" i="3"/>
  <c r="AI96" i="3"/>
  <c r="AC96" i="3"/>
  <c r="BY96" i="3" s="1"/>
  <c r="BP95" i="3"/>
  <c r="BQ95" i="3"/>
  <c r="BR95" i="3" s="1"/>
  <c r="BQ94" i="3"/>
  <c r="BR94" i="3" s="1"/>
  <c r="BP94" i="3"/>
  <c r="CG94" i="3"/>
  <c r="CF94" i="3"/>
  <c r="BI95" i="3"/>
  <c r="CC94" i="3"/>
  <c r="CD94" i="3" s="1"/>
  <c r="CB94" i="3"/>
  <c r="CE95" i="3"/>
  <c r="CA95" i="3"/>
  <c r="A98" i="3"/>
  <c r="Q98" i="12" s="1"/>
  <c r="U97" i="3"/>
  <c r="AS97" i="3"/>
  <c r="AN97" i="3"/>
  <c r="AQ97" i="3"/>
  <c r="K97" i="3"/>
  <c r="H97" i="3"/>
  <c r="M97" i="3"/>
  <c r="AK97" i="3"/>
  <c r="AH97" i="3" s="1"/>
  <c r="AR97" i="3"/>
  <c r="Z97" i="3"/>
  <c r="W97" i="3"/>
  <c r="P97" i="3"/>
  <c r="E97" i="3"/>
  <c r="AB97" i="3"/>
  <c r="AP97" i="3"/>
  <c r="AU97" i="3"/>
  <c r="AE97" i="3"/>
  <c r="N97" i="3"/>
  <c r="B97" i="3"/>
  <c r="AX97" i="3"/>
  <c r="X97" i="3"/>
  <c r="T97" i="3"/>
  <c r="AG97" i="3"/>
  <c r="AF97" i="3"/>
  <c r="R97" i="3"/>
  <c r="AD97" i="3"/>
  <c r="D97" i="3"/>
  <c r="L97" i="3"/>
  <c r="Y97" i="3"/>
  <c r="S97" i="3"/>
  <c r="F97" i="3"/>
  <c r="AV97" i="3"/>
  <c r="J97" i="3"/>
  <c r="Q97" i="3"/>
  <c r="AL97" i="3"/>
  <c r="I97" i="3"/>
  <c r="G97" i="3" s="1"/>
  <c r="C97" i="3"/>
  <c r="V97" i="3"/>
  <c r="AA97" i="3"/>
  <c r="AT97" i="3"/>
  <c r="AO97" i="3"/>
  <c r="O97" i="3"/>
  <c r="BO96" i="3" l="1"/>
  <c r="BP96" i="3" s="1"/>
  <c r="BT97" i="3"/>
  <c r="BN97" i="3"/>
  <c r="BB97" i="3"/>
  <c r="BH97" i="3"/>
  <c r="BA97" i="3"/>
  <c r="BW95" i="3"/>
  <c r="BX95" i="3" s="1"/>
  <c r="BZ97" i="3"/>
  <c r="AW98" i="3"/>
  <c r="AM98" i="3" s="1"/>
  <c r="BC96" i="3"/>
  <c r="BD96" i="3" s="1"/>
  <c r="CA96" i="3"/>
  <c r="CB96" i="3" s="1"/>
  <c r="AI97" i="3"/>
  <c r="CE96" i="3"/>
  <c r="BU96" i="3"/>
  <c r="BW96" i="3" s="1"/>
  <c r="BX96" i="3" s="1"/>
  <c r="BK96" i="3"/>
  <c r="BL96" i="3" s="1"/>
  <c r="BJ96" i="3"/>
  <c r="AC97" i="3"/>
  <c r="BY97" i="3" s="1"/>
  <c r="BS97" i="3"/>
  <c r="BU97" i="3" s="1"/>
  <c r="BG97" i="3"/>
  <c r="BM97" i="3"/>
  <c r="CC96" i="3"/>
  <c r="CD96" i="3" s="1"/>
  <c r="AY97" i="3"/>
  <c r="BJ95" i="3"/>
  <c r="BK95" i="3"/>
  <c r="BL95" i="3" s="1"/>
  <c r="CB95" i="3"/>
  <c r="CC95" i="3"/>
  <c r="CD95" i="3" s="1"/>
  <c r="CG95" i="3"/>
  <c r="CF95" i="3"/>
  <c r="AV98" i="3"/>
  <c r="AS98" i="3"/>
  <c r="AT98" i="3"/>
  <c r="O98" i="3"/>
  <c r="AN98" i="3"/>
  <c r="AU98" i="3"/>
  <c r="AQ98" i="3"/>
  <c r="AB98" i="3"/>
  <c r="T98" i="3"/>
  <c r="N98" i="3"/>
  <c r="AE98" i="3"/>
  <c r="BN98" i="3" s="1"/>
  <c r="AL98" i="3"/>
  <c r="AK98" i="3"/>
  <c r="AH98" i="3" s="1"/>
  <c r="AF98" i="3"/>
  <c r="L98" i="3"/>
  <c r="S98" i="3"/>
  <c r="B98" i="3"/>
  <c r="W98" i="3"/>
  <c r="AR98" i="3"/>
  <c r="Z98" i="3"/>
  <c r="Y98" i="3"/>
  <c r="U98" i="3"/>
  <c r="F98" i="3"/>
  <c r="AG98" i="3"/>
  <c r="AX98" i="3"/>
  <c r="Q98" i="3"/>
  <c r="P98" i="3"/>
  <c r="M98" i="3"/>
  <c r="AO98" i="3"/>
  <c r="J98" i="3"/>
  <c r="D98" i="3"/>
  <c r="K98" i="3"/>
  <c r="AA98" i="3"/>
  <c r="I98" i="3"/>
  <c r="G98" i="3" s="1"/>
  <c r="H98" i="3"/>
  <c r="E98" i="3"/>
  <c r="AP98" i="3"/>
  <c r="V98" i="3"/>
  <c r="R98" i="3"/>
  <c r="A99" i="3"/>
  <c r="Q99" i="12" s="1"/>
  <c r="X98" i="3"/>
  <c r="C98" i="3"/>
  <c r="AD98" i="3"/>
  <c r="BQ96" i="3" l="1"/>
  <c r="BR96" i="3" s="1"/>
  <c r="BA98" i="3"/>
  <c r="BB98" i="3"/>
  <c r="BH98" i="3"/>
  <c r="BZ98" i="3"/>
  <c r="BT98" i="3"/>
  <c r="AW99" i="3"/>
  <c r="AM99" i="3" s="1"/>
  <c r="BV96" i="3"/>
  <c r="BE96" i="3"/>
  <c r="BF96" i="3" s="1"/>
  <c r="AI98" i="3"/>
  <c r="BO97" i="3"/>
  <c r="BQ97" i="3" s="1"/>
  <c r="BR97" i="3" s="1"/>
  <c r="CF96" i="3"/>
  <c r="CG96" i="3"/>
  <c r="BI97" i="3"/>
  <c r="BM98" i="3"/>
  <c r="BW97" i="3"/>
  <c r="BX97" i="3" s="1"/>
  <c r="BV97" i="3"/>
  <c r="AY98" i="3"/>
  <c r="BC97" i="3"/>
  <c r="AC98" i="3"/>
  <c r="BY98" i="3" s="1"/>
  <c r="BG98" i="3"/>
  <c r="BS98" i="3"/>
  <c r="CE97" i="3"/>
  <c r="CA97" i="3"/>
  <c r="AA99" i="3"/>
  <c r="AX99" i="3"/>
  <c r="AD99" i="3"/>
  <c r="AG99" i="3"/>
  <c r="Y99" i="3"/>
  <c r="M99" i="3"/>
  <c r="O99" i="3"/>
  <c r="S99" i="3"/>
  <c r="AQ99" i="3"/>
  <c r="AU99" i="3"/>
  <c r="Q99" i="3"/>
  <c r="N99" i="3"/>
  <c r="H99" i="3"/>
  <c r="AR99" i="3"/>
  <c r="K99" i="3"/>
  <c r="Z99" i="3"/>
  <c r="AV99" i="3"/>
  <c r="V99" i="3"/>
  <c r="E99" i="3"/>
  <c r="AT99" i="3"/>
  <c r="AL99" i="3"/>
  <c r="A100" i="3"/>
  <c r="Q100" i="12" s="1"/>
  <c r="C99" i="3"/>
  <c r="R99" i="3"/>
  <c r="AN99" i="3"/>
  <c r="AK99" i="3"/>
  <c r="AH99" i="3" s="1"/>
  <c r="I99" i="3"/>
  <c r="G99" i="3" s="1"/>
  <c r="U99" i="3"/>
  <c r="J99" i="3"/>
  <c r="AE99" i="3"/>
  <c r="BA99" i="3" s="1"/>
  <c r="X99" i="3"/>
  <c r="AS99" i="3"/>
  <c r="F99" i="3"/>
  <c r="AF99" i="3"/>
  <c r="B99" i="3"/>
  <c r="W99" i="3"/>
  <c r="L99" i="3"/>
  <c r="P99" i="3"/>
  <c r="AB99" i="3"/>
  <c r="AO99" i="3"/>
  <c r="D99" i="3"/>
  <c r="T99" i="3"/>
  <c r="AP99" i="3"/>
  <c r="BN99" i="3" l="1"/>
  <c r="BP97" i="3"/>
  <c r="BB99" i="3"/>
  <c r="BH99" i="3"/>
  <c r="BT99" i="3"/>
  <c r="BZ99" i="3"/>
  <c r="AW100" i="3"/>
  <c r="AM100" i="3" s="1"/>
  <c r="BU98" i="3"/>
  <c r="BW98" i="3" s="1"/>
  <c r="BX98" i="3" s="1"/>
  <c r="AI99" i="3"/>
  <c r="BO98" i="3"/>
  <c r="BQ98" i="3" s="1"/>
  <c r="BR98" i="3" s="1"/>
  <c r="BS99" i="3"/>
  <c r="BU99" i="3" s="1"/>
  <c r="AC99" i="3"/>
  <c r="BY99" i="3" s="1"/>
  <c r="BJ97" i="3"/>
  <c r="BK97" i="3"/>
  <c r="BL97" i="3" s="1"/>
  <c r="CG97" i="3"/>
  <c r="CF97" i="3"/>
  <c r="AY99" i="3"/>
  <c r="BC98" i="3"/>
  <c r="BE97" i="3"/>
  <c r="BF97" i="3" s="1"/>
  <c r="BD97" i="3"/>
  <c r="CE98" i="3"/>
  <c r="CA98" i="3"/>
  <c r="CC97" i="3"/>
  <c r="CD97" i="3" s="1"/>
  <c r="CB97" i="3"/>
  <c r="BG99" i="3"/>
  <c r="BM99" i="3"/>
  <c r="BI98" i="3"/>
  <c r="W100" i="3"/>
  <c r="AD100" i="3"/>
  <c r="AS100" i="3"/>
  <c r="F100" i="3"/>
  <c r="AP100" i="3"/>
  <c r="AQ100" i="3"/>
  <c r="AK100" i="3"/>
  <c r="AH100" i="3" s="1"/>
  <c r="O100" i="3"/>
  <c r="V100" i="3"/>
  <c r="AR100" i="3"/>
  <c r="U100" i="3"/>
  <c r="H100" i="3"/>
  <c r="Y100" i="3"/>
  <c r="Q100" i="3"/>
  <c r="D100" i="3"/>
  <c r="Z100" i="3"/>
  <c r="X100" i="3"/>
  <c r="N100" i="3"/>
  <c r="AO100" i="3"/>
  <c r="I100" i="3"/>
  <c r="G100" i="3" s="1"/>
  <c r="AA100" i="3"/>
  <c r="AU100" i="3"/>
  <c r="E100" i="3"/>
  <c r="S100" i="3"/>
  <c r="AB100" i="3"/>
  <c r="M100" i="3"/>
  <c r="AF100" i="3"/>
  <c r="AL100" i="3"/>
  <c r="L100" i="3"/>
  <c r="C100" i="3"/>
  <c r="R100" i="3"/>
  <c r="AG100" i="3"/>
  <c r="AV100" i="3"/>
  <c r="K100" i="3"/>
  <c r="P100" i="3"/>
  <c r="A101" i="3"/>
  <c r="Q101" i="12" s="1"/>
  <c r="J100" i="3"/>
  <c r="T100" i="3"/>
  <c r="AX100" i="3"/>
  <c r="AN100" i="3"/>
  <c r="B100" i="3"/>
  <c r="AE100" i="3"/>
  <c r="AT100" i="3"/>
  <c r="BA100" i="3" l="1"/>
  <c r="BZ100" i="3"/>
  <c r="BH100" i="3"/>
  <c r="BT100" i="3"/>
  <c r="BV98" i="3"/>
  <c r="BB100" i="3"/>
  <c r="BN100" i="3"/>
  <c r="AW101" i="3"/>
  <c r="BZ101" i="3" s="1"/>
  <c r="BP98" i="3"/>
  <c r="BO99" i="3"/>
  <c r="BQ99" i="3" s="1"/>
  <c r="BR99" i="3" s="1"/>
  <c r="AI100" i="3"/>
  <c r="BC99" i="3"/>
  <c r="BE99" i="3" s="1"/>
  <c r="BF99" i="3" s="1"/>
  <c r="AC100" i="3"/>
  <c r="BY100" i="3" s="1"/>
  <c r="CB98" i="3"/>
  <c r="CC98" i="3"/>
  <c r="CD98" i="3" s="1"/>
  <c r="BV99" i="3"/>
  <c r="BW99" i="3"/>
  <c r="BX99" i="3" s="1"/>
  <c r="BM100" i="3"/>
  <c r="BI99" i="3"/>
  <c r="BG100" i="3"/>
  <c r="BE98" i="3"/>
  <c r="BF98" i="3" s="1"/>
  <c r="BD98" i="3"/>
  <c r="AY100" i="3"/>
  <c r="CE99" i="3"/>
  <c r="CA99" i="3"/>
  <c r="BJ98" i="3"/>
  <c r="BK98" i="3"/>
  <c r="BL98" i="3" s="1"/>
  <c r="CF98" i="3"/>
  <c r="CG98" i="3"/>
  <c r="BS100" i="3"/>
  <c r="AA101" i="3"/>
  <c r="AX101" i="3"/>
  <c r="A102" i="3"/>
  <c r="Q102" i="12" s="1"/>
  <c r="AS101" i="3"/>
  <c r="AT101" i="3"/>
  <c r="AP101" i="3"/>
  <c r="Y101" i="3"/>
  <c r="E101" i="3"/>
  <c r="AO101" i="3"/>
  <c r="S101" i="3"/>
  <c r="AQ101" i="3"/>
  <c r="AF101" i="3"/>
  <c r="P101" i="3"/>
  <c r="X101" i="3"/>
  <c r="Q101" i="3"/>
  <c r="I101" i="3"/>
  <c r="G101" i="3" s="1"/>
  <c r="L101" i="3"/>
  <c r="AK101" i="3"/>
  <c r="AH101" i="3" s="1"/>
  <c r="K101" i="3"/>
  <c r="Z101" i="3"/>
  <c r="AV101" i="3"/>
  <c r="AG101" i="3"/>
  <c r="T101" i="3"/>
  <c r="D101" i="3"/>
  <c r="M101" i="3"/>
  <c r="AD101" i="3"/>
  <c r="C101" i="3"/>
  <c r="R101" i="3"/>
  <c r="AN101" i="3"/>
  <c r="AU101" i="3"/>
  <c r="U101" i="3"/>
  <c r="F101" i="3"/>
  <c r="B101" i="3"/>
  <c r="AR101" i="3"/>
  <c r="N101" i="3"/>
  <c r="J101" i="3"/>
  <c r="AE101" i="3"/>
  <c r="V101" i="3"/>
  <c r="H101" i="3"/>
  <c r="AL101" i="3"/>
  <c r="W101" i="3"/>
  <c r="AB101" i="3"/>
  <c r="O101" i="3"/>
  <c r="BO100" i="3" l="1"/>
  <c r="BP99" i="3"/>
  <c r="BA101" i="3"/>
  <c r="BT101" i="3"/>
  <c r="BB101" i="3"/>
  <c r="AM101" i="3"/>
  <c r="BH101" i="3"/>
  <c r="BN101" i="3"/>
  <c r="BD99" i="3"/>
  <c r="AW102" i="3"/>
  <c r="AM102" i="3" s="1"/>
  <c r="BU100" i="3"/>
  <c r="BW100" i="3" s="1"/>
  <c r="BX100" i="3" s="1"/>
  <c r="AI101" i="3"/>
  <c r="BC100" i="3"/>
  <c r="BE100" i="3" s="1"/>
  <c r="BF100" i="3" s="1"/>
  <c r="AY101" i="3"/>
  <c r="CG99" i="3"/>
  <c r="CF99" i="3"/>
  <c r="BP100" i="3"/>
  <c r="BQ100" i="3"/>
  <c r="BR100" i="3" s="1"/>
  <c r="CE100" i="3"/>
  <c r="CA100" i="3"/>
  <c r="AC101" i="3"/>
  <c r="BY101" i="3" s="1"/>
  <c r="BS101" i="3"/>
  <c r="BI100" i="3"/>
  <c r="BG101" i="3"/>
  <c r="BM101" i="3"/>
  <c r="BV100" i="3"/>
  <c r="CC99" i="3"/>
  <c r="CD99" i="3" s="1"/>
  <c r="CB99" i="3"/>
  <c r="BJ99" i="3"/>
  <c r="BK99" i="3"/>
  <c r="BL99" i="3" s="1"/>
  <c r="W102" i="3"/>
  <c r="AD102" i="3"/>
  <c r="AL102" i="3"/>
  <c r="B102" i="3"/>
  <c r="H102" i="3"/>
  <c r="J102" i="3"/>
  <c r="O102" i="3"/>
  <c r="V102" i="3"/>
  <c r="AR102" i="3"/>
  <c r="Y102" i="3"/>
  <c r="U102" i="3"/>
  <c r="Q102" i="3"/>
  <c r="M102" i="3"/>
  <c r="R102" i="3"/>
  <c r="P102" i="3"/>
  <c r="A103" i="3"/>
  <c r="Q103" i="12" s="1"/>
  <c r="AE102" i="3"/>
  <c r="BH102" i="3" s="1"/>
  <c r="N102" i="3"/>
  <c r="AO102" i="3"/>
  <c r="L102" i="3"/>
  <c r="AS102" i="3"/>
  <c r="F102" i="3"/>
  <c r="AA102" i="3"/>
  <c r="Z102" i="3"/>
  <c r="AT102" i="3"/>
  <c r="AF102" i="3"/>
  <c r="AQ102" i="3"/>
  <c r="S102" i="3"/>
  <c r="AG102" i="3"/>
  <c r="E102" i="3"/>
  <c r="X102" i="3"/>
  <c r="AU102" i="3"/>
  <c r="AB102" i="3"/>
  <c r="I102" i="3"/>
  <c r="G102" i="3" s="1"/>
  <c r="AN102" i="3"/>
  <c r="AV102" i="3"/>
  <c r="K102" i="3"/>
  <c r="AK102" i="3"/>
  <c r="AH102" i="3" s="1"/>
  <c r="T102" i="3"/>
  <c r="AP102" i="3"/>
  <c r="C102" i="3"/>
  <c r="D102" i="3"/>
  <c r="AX102" i="3"/>
  <c r="BA102" i="3" l="1"/>
  <c r="BN102" i="3"/>
  <c r="BT102" i="3"/>
  <c r="BZ102" i="3"/>
  <c r="BB102" i="3"/>
  <c r="AW103" i="3"/>
  <c r="BZ103" i="3" s="1"/>
  <c r="BD100" i="3"/>
  <c r="BC101" i="3"/>
  <c r="BE101" i="3" s="1"/>
  <c r="BF101" i="3" s="1"/>
  <c r="CE101" i="3"/>
  <c r="CF101" i="3" s="1"/>
  <c r="BI101" i="3"/>
  <c r="BJ101" i="3" s="1"/>
  <c r="BG102" i="3"/>
  <c r="BM102" i="3"/>
  <c r="AI102" i="3"/>
  <c r="BS102" i="3"/>
  <c r="BO101" i="3"/>
  <c r="BP101" i="3" s="1"/>
  <c r="CC100" i="3"/>
  <c r="CD100" i="3" s="1"/>
  <c r="CB100" i="3"/>
  <c r="BK100" i="3"/>
  <c r="BL100" i="3" s="1"/>
  <c r="BJ100" i="3"/>
  <c r="CG100" i="3"/>
  <c r="CF100" i="3"/>
  <c r="AC102" i="3"/>
  <c r="BY102" i="3" s="1"/>
  <c r="AY102" i="3"/>
  <c r="BU101" i="3"/>
  <c r="CG101" i="3"/>
  <c r="CA101" i="3"/>
  <c r="AX103" i="3"/>
  <c r="AD103" i="3"/>
  <c r="D103" i="3"/>
  <c r="AK103" i="3"/>
  <c r="AH103" i="3" s="1"/>
  <c r="AB103" i="3"/>
  <c r="E103" i="3"/>
  <c r="N103" i="3"/>
  <c r="AT103" i="3"/>
  <c r="H103" i="3"/>
  <c r="AA103" i="3"/>
  <c r="AQ103" i="3"/>
  <c r="AV103" i="3"/>
  <c r="AS103" i="3"/>
  <c r="Q103" i="3"/>
  <c r="X103" i="3"/>
  <c r="U103" i="3"/>
  <c r="L103" i="3"/>
  <c r="Y103" i="3"/>
  <c r="P103" i="3"/>
  <c r="S103" i="3"/>
  <c r="Z103" i="3"/>
  <c r="AN103" i="3"/>
  <c r="AF103" i="3"/>
  <c r="AL103" i="3"/>
  <c r="AP103" i="3"/>
  <c r="K103" i="3"/>
  <c r="R103" i="3"/>
  <c r="AE103" i="3"/>
  <c r="AC103" i="3" s="1"/>
  <c r="T103" i="3"/>
  <c r="AR103" i="3"/>
  <c r="C103" i="3"/>
  <c r="J103" i="3"/>
  <c r="W103" i="3"/>
  <c r="F103" i="3"/>
  <c r="M103" i="3"/>
  <c r="I103" i="3"/>
  <c r="G103" i="3" s="1"/>
  <c r="AU103" i="3"/>
  <c r="AG103" i="3"/>
  <c r="A104" i="3"/>
  <c r="Q104" i="12" s="1"/>
  <c r="B103" i="3"/>
  <c r="O103" i="3"/>
  <c r="AO103" i="3"/>
  <c r="V103" i="3"/>
  <c r="AM103" i="3" l="1"/>
  <c r="BB103" i="3"/>
  <c r="BN103" i="3"/>
  <c r="BH103" i="3"/>
  <c r="BD101" i="3"/>
  <c r="BK101" i="3"/>
  <c r="BL101" i="3" s="1"/>
  <c r="BA103" i="3"/>
  <c r="BT103" i="3"/>
  <c r="AW104" i="3"/>
  <c r="BZ104" i="3" s="1"/>
  <c r="BO102" i="3"/>
  <c r="BQ102" i="3" s="1"/>
  <c r="BR102" i="3" s="1"/>
  <c r="BI102" i="3"/>
  <c r="BK102" i="3" s="1"/>
  <c r="BL102" i="3" s="1"/>
  <c r="BG103" i="3"/>
  <c r="BI103" i="3" s="1"/>
  <c r="BU102" i="3"/>
  <c r="BV102" i="3" s="1"/>
  <c r="BQ101" i="3"/>
  <c r="BR101" i="3" s="1"/>
  <c r="BC102" i="3"/>
  <c r="BE102" i="3" s="1"/>
  <c r="BF102" i="3" s="1"/>
  <c r="BM103" i="3"/>
  <c r="BY103" i="3"/>
  <c r="AI103" i="3"/>
  <c r="CB101" i="3"/>
  <c r="CC101" i="3"/>
  <c r="CD101" i="3" s="1"/>
  <c r="BW101" i="3"/>
  <c r="BX101" i="3" s="1"/>
  <c r="BV101" i="3"/>
  <c r="BS103" i="3"/>
  <c r="AY103" i="3"/>
  <c r="CE102" i="3"/>
  <c r="CA102" i="3"/>
  <c r="N104" i="3"/>
  <c r="AX104" i="3"/>
  <c r="AG104" i="3"/>
  <c r="AV104" i="3"/>
  <c r="J104" i="3"/>
  <c r="B104" i="3"/>
  <c r="AB104" i="3"/>
  <c r="S104" i="3"/>
  <c r="AE104" i="3"/>
  <c r="AK104" i="3"/>
  <c r="AH104" i="3" s="1"/>
  <c r="P104" i="3"/>
  <c r="F104" i="3"/>
  <c r="AA104" i="3"/>
  <c r="AQ104" i="3"/>
  <c r="Y104" i="3"/>
  <c r="AN104" i="3"/>
  <c r="AF104" i="3"/>
  <c r="R104" i="3"/>
  <c r="Q104" i="3"/>
  <c r="Z104" i="3"/>
  <c r="M104" i="3"/>
  <c r="T104" i="3"/>
  <c r="H104" i="3"/>
  <c r="E104" i="3"/>
  <c r="V104" i="3"/>
  <c r="AP104" i="3"/>
  <c r="X104" i="3"/>
  <c r="K104" i="3"/>
  <c r="I104" i="3"/>
  <c r="G104" i="3" s="1"/>
  <c r="W104" i="3"/>
  <c r="AO104" i="3"/>
  <c r="D104" i="3"/>
  <c r="O104" i="3"/>
  <c r="U104" i="3"/>
  <c r="C104" i="3"/>
  <c r="AU104" i="3"/>
  <c r="AR104" i="3"/>
  <c r="AS104" i="3"/>
  <c r="A105" i="3"/>
  <c r="Q105" i="12" s="1"/>
  <c r="AD104" i="3"/>
  <c r="L104" i="3"/>
  <c r="AT104" i="3"/>
  <c r="AL104" i="3"/>
  <c r="BB104" i="3" l="1"/>
  <c r="AM104" i="3"/>
  <c r="BW102" i="3"/>
  <c r="BX102" i="3" s="1"/>
  <c r="BH104" i="3"/>
  <c r="BN104" i="3"/>
  <c r="BP102" i="3"/>
  <c r="BA104" i="3"/>
  <c r="BT104" i="3"/>
  <c r="AW105" i="3"/>
  <c r="AM105" i="3" s="1"/>
  <c r="BD102" i="3"/>
  <c r="BJ102" i="3"/>
  <c r="BO103" i="3"/>
  <c r="BP103" i="3" s="1"/>
  <c r="BM104" i="3"/>
  <c r="BU103" i="3"/>
  <c r="BV103" i="3" s="1"/>
  <c r="BC103" i="3"/>
  <c r="BD103" i="3" s="1"/>
  <c r="AI104" i="3"/>
  <c r="BK103" i="3"/>
  <c r="BL103" i="3" s="1"/>
  <c r="BJ103" i="3"/>
  <c r="CB102" i="3"/>
  <c r="CC102" i="3"/>
  <c r="CD102" i="3" s="1"/>
  <c r="BG104" i="3"/>
  <c r="CG102" i="3"/>
  <c r="CF102" i="3"/>
  <c r="CE103" i="3"/>
  <c r="CA103" i="3"/>
  <c r="AC104" i="3"/>
  <c r="BY104" i="3" s="1"/>
  <c r="BS104" i="3"/>
  <c r="AY104" i="3"/>
  <c r="R105" i="3"/>
  <c r="AN105" i="3"/>
  <c r="E105" i="3"/>
  <c r="AA105" i="3"/>
  <c r="AS105" i="3"/>
  <c r="J105" i="3"/>
  <c r="AE105" i="3"/>
  <c r="AU105" i="3"/>
  <c r="S105" i="3"/>
  <c r="AF105" i="3"/>
  <c r="AP105" i="3"/>
  <c r="AK105" i="3"/>
  <c r="AH105" i="3" s="1"/>
  <c r="X105" i="3"/>
  <c r="D105" i="3"/>
  <c r="B105" i="3"/>
  <c r="W105" i="3"/>
  <c r="AD105" i="3"/>
  <c r="K105" i="3"/>
  <c r="I105" i="3"/>
  <c r="G105" i="3" s="1"/>
  <c r="AG105" i="3"/>
  <c r="L105" i="3"/>
  <c r="O105" i="3"/>
  <c r="V105" i="3"/>
  <c r="AT105" i="3"/>
  <c r="C105" i="3"/>
  <c r="Y105" i="3"/>
  <c r="N105" i="3"/>
  <c r="AL105" i="3"/>
  <c r="T105" i="3"/>
  <c r="AV105" i="3"/>
  <c r="AX105" i="3"/>
  <c r="F105" i="3"/>
  <c r="AB105" i="3"/>
  <c r="AO105" i="3"/>
  <c r="Q105" i="3"/>
  <c r="AQ105" i="3"/>
  <c r="A106" i="3"/>
  <c r="Q106" i="12" s="1"/>
  <c r="AR105" i="3"/>
  <c r="P105" i="3"/>
  <c r="Z105" i="3"/>
  <c r="M105" i="3"/>
  <c r="U105" i="3"/>
  <c r="H105" i="3"/>
  <c r="BT105" i="3" l="1"/>
  <c r="BW103" i="3"/>
  <c r="BX103" i="3" s="1"/>
  <c r="BB105" i="3"/>
  <c r="BN105" i="3"/>
  <c r="BH105" i="3"/>
  <c r="BI105" i="3" s="1"/>
  <c r="BA105" i="3"/>
  <c r="BZ105" i="3"/>
  <c r="AW106" i="3"/>
  <c r="AM106" i="3" s="1"/>
  <c r="BE103" i="3"/>
  <c r="BF103" i="3" s="1"/>
  <c r="BG105" i="3"/>
  <c r="BQ103" i="3"/>
  <c r="BR103" i="3" s="1"/>
  <c r="BO104" i="3"/>
  <c r="BP104" i="3" s="1"/>
  <c r="BM105" i="3"/>
  <c r="BS105" i="3"/>
  <c r="AC105" i="3"/>
  <c r="BY105" i="3" s="1"/>
  <c r="AI105" i="3"/>
  <c r="BC104" i="3"/>
  <c r="BE104" i="3" s="1"/>
  <c r="BF104" i="3" s="1"/>
  <c r="BI104" i="3"/>
  <c r="AY105" i="3"/>
  <c r="BU104" i="3"/>
  <c r="CC103" i="3"/>
  <c r="CD103" i="3" s="1"/>
  <c r="CB103" i="3"/>
  <c r="CF103" i="3"/>
  <c r="CG103" i="3"/>
  <c r="CE104" i="3"/>
  <c r="CA104" i="3"/>
  <c r="N106" i="3"/>
  <c r="O106" i="3"/>
  <c r="AO106" i="3"/>
  <c r="AK106" i="3"/>
  <c r="AH106" i="3" s="1"/>
  <c r="AS106" i="3"/>
  <c r="F106" i="3"/>
  <c r="AA106" i="3"/>
  <c r="AX106" i="3"/>
  <c r="H106" i="3"/>
  <c r="U106" i="3"/>
  <c r="P106" i="3"/>
  <c r="D106" i="3"/>
  <c r="M106" i="3"/>
  <c r="L106" i="3"/>
  <c r="S106" i="3"/>
  <c r="AQ106" i="3"/>
  <c r="J106" i="3"/>
  <c r="K106" i="3"/>
  <c r="Z106" i="3"/>
  <c r="AP106" i="3"/>
  <c r="AT106" i="3"/>
  <c r="Y106" i="3"/>
  <c r="T106" i="3"/>
  <c r="C106" i="3"/>
  <c r="R106" i="3"/>
  <c r="AG106" i="3"/>
  <c r="AV106" i="3"/>
  <c r="AF106" i="3"/>
  <c r="AB106" i="3"/>
  <c r="AL106" i="3"/>
  <c r="AU106" i="3"/>
  <c r="AN106" i="3"/>
  <c r="AD106" i="3"/>
  <c r="B106" i="3"/>
  <c r="Q106" i="3"/>
  <c r="AE106" i="3"/>
  <c r="A107" i="3"/>
  <c r="Q107" i="12" s="1"/>
  <c r="V106" i="3"/>
  <c r="AR106" i="3"/>
  <c r="I106" i="3"/>
  <c r="G106" i="3" s="1"/>
  <c r="W106" i="3"/>
  <c r="X106" i="3"/>
  <c r="E106" i="3"/>
  <c r="BC105" i="3" l="1"/>
  <c r="BU105" i="3"/>
  <c r="BW105" i="3" s="1"/>
  <c r="BX105" i="3" s="1"/>
  <c r="BQ104" i="3"/>
  <c r="BR104" i="3" s="1"/>
  <c r="BT106" i="3"/>
  <c r="BH106" i="3"/>
  <c r="BA106" i="3"/>
  <c r="BN106" i="3"/>
  <c r="BZ106" i="3"/>
  <c r="BB106" i="3"/>
  <c r="AW107" i="3"/>
  <c r="AM107" i="3" s="1"/>
  <c r="BO105" i="3"/>
  <c r="BQ105" i="3" s="1"/>
  <c r="BR105" i="3" s="1"/>
  <c r="BG106" i="3"/>
  <c r="BI106" i="3" s="1"/>
  <c r="BD104" i="3"/>
  <c r="BV105" i="3"/>
  <c r="BK105" i="3"/>
  <c r="BL105" i="3" s="1"/>
  <c r="BJ105" i="3"/>
  <c r="AI106" i="3"/>
  <c r="BE105" i="3"/>
  <c r="BF105" i="3" s="1"/>
  <c r="BD105" i="3"/>
  <c r="BS106" i="3"/>
  <c r="BV104" i="3"/>
  <c r="BW104" i="3"/>
  <c r="BX104" i="3" s="1"/>
  <c r="CE105" i="3"/>
  <c r="CA105" i="3"/>
  <c r="CB104" i="3"/>
  <c r="CC104" i="3"/>
  <c r="CD104" i="3" s="1"/>
  <c r="BM106" i="3"/>
  <c r="AC106" i="3"/>
  <c r="BY106" i="3" s="1"/>
  <c r="AY106" i="3"/>
  <c r="BJ104" i="3"/>
  <c r="BK104" i="3"/>
  <c r="BL104" i="3" s="1"/>
  <c r="CF104" i="3"/>
  <c r="CG104" i="3"/>
  <c r="R107" i="3"/>
  <c r="AN107" i="3"/>
  <c r="E107" i="3"/>
  <c r="AA107" i="3"/>
  <c r="AP107" i="3"/>
  <c r="J107" i="3"/>
  <c r="AE107" i="3"/>
  <c r="AB107" i="3"/>
  <c r="V107" i="3"/>
  <c r="C107" i="3"/>
  <c r="I107" i="3"/>
  <c r="G107" i="3" s="1"/>
  <c r="AU107" i="3"/>
  <c r="S107" i="3"/>
  <c r="AO107" i="3"/>
  <c r="L107" i="3"/>
  <c r="O107" i="3"/>
  <c r="Q107" i="3"/>
  <c r="B107" i="3"/>
  <c r="W107" i="3"/>
  <c r="AD107" i="3"/>
  <c r="K107" i="3"/>
  <c r="H107" i="3"/>
  <c r="T107" i="3"/>
  <c r="X107" i="3"/>
  <c r="AT107" i="3"/>
  <c r="AQ107" i="3"/>
  <c r="AR107" i="3"/>
  <c r="D107" i="3"/>
  <c r="Z107" i="3"/>
  <c r="N107" i="3"/>
  <c r="AL107" i="3"/>
  <c r="AS107" i="3"/>
  <c r="P107" i="3"/>
  <c r="AG107" i="3"/>
  <c r="A108" i="3"/>
  <c r="Q108" i="12" s="1"/>
  <c r="AV107" i="3"/>
  <c r="M107" i="3"/>
  <c r="AX107" i="3"/>
  <c r="F107" i="3"/>
  <c r="AF107" i="3"/>
  <c r="Y107" i="3"/>
  <c r="AK107" i="3"/>
  <c r="U107" i="3"/>
  <c r="BT107" i="3" l="1"/>
  <c r="AC107" i="3"/>
  <c r="BY107" i="3" s="1"/>
  <c r="BN107" i="3"/>
  <c r="BS107" i="3"/>
  <c r="BU107" i="3" s="1"/>
  <c r="BB107" i="3"/>
  <c r="BH107" i="3"/>
  <c r="BP105" i="3"/>
  <c r="BZ107" i="3"/>
  <c r="BA107" i="3"/>
  <c r="AW108" i="3"/>
  <c r="AM108" i="3" s="1"/>
  <c r="BC106" i="3"/>
  <c r="BE106" i="3" s="1"/>
  <c r="BF106" i="3" s="1"/>
  <c r="AH107" i="3"/>
  <c r="AI107" i="3" s="1"/>
  <c r="BM107" i="3"/>
  <c r="BG107" i="3"/>
  <c r="BK106" i="3"/>
  <c r="BL106" i="3" s="1"/>
  <c r="BJ106" i="3"/>
  <c r="BU106" i="3"/>
  <c r="CA106" i="3"/>
  <c r="CE106" i="3"/>
  <c r="CB105" i="3"/>
  <c r="CC105" i="3"/>
  <c r="CD105" i="3" s="1"/>
  <c r="AY107" i="3"/>
  <c r="CF105" i="3"/>
  <c r="CG105" i="3"/>
  <c r="BO106" i="3"/>
  <c r="N108" i="3"/>
  <c r="O108" i="3"/>
  <c r="AB108" i="3"/>
  <c r="U108" i="3"/>
  <c r="A109" i="3"/>
  <c r="Q109" i="12" s="1"/>
  <c r="X108" i="3"/>
  <c r="V108" i="3"/>
  <c r="AT108" i="3"/>
  <c r="F108" i="3"/>
  <c r="AA108" i="3"/>
  <c r="AX108" i="3"/>
  <c r="E108" i="3"/>
  <c r="AL108" i="3"/>
  <c r="AF108" i="3"/>
  <c r="M108" i="3"/>
  <c r="K108" i="3"/>
  <c r="B108" i="3"/>
  <c r="D108" i="3"/>
  <c r="I108" i="3"/>
  <c r="G108" i="3" s="1"/>
  <c r="S108" i="3"/>
  <c r="AQ108" i="3"/>
  <c r="T108" i="3"/>
  <c r="Z108" i="3"/>
  <c r="AD108" i="3"/>
  <c r="AE108" i="3"/>
  <c r="BH108" i="3" s="1"/>
  <c r="AP108" i="3"/>
  <c r="P108" i="3"/>
  <c r="AR108" i="3"/>
  <c r="C108" i="3"/>
  <c r="R108" i="3"/>
  <c r="AG108" i="3"/>
  <c r="AV108" i="3"/>
  <c r="AS108" i="3"/>
  <c r="L108" i="3"/>
  <c r="Q108" i="3"/>
  <c r="AU108" i="3"/>
  <c r="J108" i="3"/>
  <c r="Y108" i="3"/>
  <c r="AN108" i="3"/>
  <c r="H108" i="3"/>
  <c r="AK108" i="3"/>
  <c r="AO108" i="3"/>
  <c r="W108" i="3"/>
  <c r="BD106" i="3" l="1"/>
  <c r="BA108" i="3"/>
  <c r="BN108" i="3"/>
  <c r="BT108" i="3"/>
  <c r="BZ108" i="3"/>
  <c r="BB108" i="3"/>
  <c r="AW109" i="3"/>
  <c r="AM109" i="3" s="1"/>
  <c r="BI107" i="3"/>
  <c r="BJ107" i="3" s="1"/>
  <c r="BO107" i="3"/>
  <c r="BQ107" i="3" s="1"/>
  <c r="BR107" i="3" s="1"/>
  <c r="BC107" i="3"/>
  <c r="BE107" i="3" s="1"/>
  <c r="BF107" i="3" s="1"/>
  <c r="AH108" i="3"/>
  <c r="AI108" i="3" s="1"/>
  <c r="BM108" i="3"/>
  <c r="BW107" i="3"/>
  <c r="BX107" i="3" s="1"/>
  <c r="BV107" i="3"/>
  <c r="AC108" i="3"/>
  <c r="BY108" i="3" s="1"/>
  <c r="BS108" i="3"/>
  <c r="BG108" i="3"/>
  <c r="CB106" i="3"/>
  <c r="CC106" i="3"/>
  <c r="CD106" i="3" s="1"/>
  <c r="BP106" i="3"/>
  <c r="BQ106" i="3"/>
  <c r="BR106" i="3" s="1"/>
  <c r="BV106" i="3"/>
  <c r="BW106" i="3"/>
  <c r="BX106" i="3" s="1"/>
  <c r="AY108" i="3"/>
  <c r="CF106" i="3"/>
  <c r="CG106" i="3"/>
  <c r="CE107" i="3"/>
  <c r="CA107" i="3"/>
  <c r="Z109" i="3"/>
  <c r="R109" i="3"/>
  <c r="P109" i="3"/>
  <c r="AN109" i="3"/>
  <c r="AF109" i="3"/>
  <c r="J109" i="3"/>
  <c r="AE109" i="3"/>
  <c r="AC109" i="3" s="1"/>
  <c r="AU109" i="3"/>
  <c r="K109" i="3"/>
  <c r="A110" i="3"/>
  <c r="Q110" i="12" s="1"/>
  <c r="AO109" i="3"/>
  <c r="V109" i="3"/>
  <c r="X109" i="3"/>
  <c r="AS109" i="3"/>
  <c r="E109" i="3"/>
  <c r="Y109" i="3"/>
  <c r="D109" i="3"/>
  <c r="B109" i="3"/>
  <c r="W109" i="3"/>
  <c r="AD109" i="3"/>
  <c r="AT109" i="3"/>
  <c r="C109" i="3"/>
  <c r="AP109" i="3"/>
  <c r="AG109" i="3"/>
  <c r="O109" i="3"/>
  <c r="AL109" i="3"/>
  <c r="AV109" i="3"/>
  <c r="AA109" i="3"/>
  <c r="T109" i="3"/>
  <c r="I109" i="3"/>
  <c r="G109" i="3" s="1"/>
  <c r="N109" i="3"/>
  <c r="AB109" i="3"/>
  <c r="F109" i="3"/>
  <c r="AR109" i="3"/>
  <c r="AK109" i="3"/>
  <c r="AQ109" i="3"/>
  <c r="M109" i="3"/>
  <c r="AX109" i="3"/>
  <c r="U109" i="3"/>
  <c r="H109" i="3"/>
  <c r="L109" i="3"/>
  <c r="Q109" i="3"/>
  <c r="S109" i="3"/>
  <c r="BK107" i="3" l="1"/>
  <c r="BL107" i="3" s="1"/>
  <c r="BN109" i="3"/>
  <c r="BT109" i="3"/>
  <c r="BB109" i="3"/>
  <c r="BH109" i="3"/>
  <c r="BA109" i="3"/>
  <c r="BZ109" i="3"/>
  <c r="AW110" i="3"/>
  <c r="AM110" i="3" s="1"/>
  <c r="BP107" i="3"/>
  <c r="BI108" i="3"/>
  <c r="BK108" i="3" s="1"/>
  <c r="BL108" i="3" s="1"/>
  <c r="BD107" i="3"/>
  <c r="BC108" i="3"/>
  <c r="BE108" i="3" s="1"/>
  <c r="BF108" i="3" s="1"/>
  <c r="BO108" i="3"/>
  <c r="BQ108" i="3" s="1"/>
  <c r="BR108" i="3" s="1"/>
  <c r="BY109" i="3"/>
  <c r="BU108" i="3"/>
  <c r="BV108" i="3" s="1"/>
  <c r="AH109" i="3"/>
  <c r="AI109" i="3" s="1"/>
  <c r="BS109" i="3"/>
  <c r="CA108" i="3"/>
  <c r="CE108" i="3"/>
  <c r="BG109" i="3"/>
  <c r="CC107" i="3"/>
  <c r="CD107" i="3" s="1"/>
  <c r="CB107" i="3"/>
  <c r="BM109" i="3"/>
  <c r="CF107" i="3"/>
  <c r="CG107" i="3"/>
  <c r="AY109" i="3"/>
  <c r="X110" i="3"/>
  <c r="R110" i="3"/>
  <c r="P110" i="3"/>
  <c r="AN110" i="3"/>
  <c r="B110" i="3"/>
  <c r="AT110" i="3"/>
  <c r="AV110" i="3"/>
  <c r="Y110" i="3"/>
  <c r="A176" i="3"/>
  <c r="Q176" i="12" s="1"/>
  <c r="T110" i="3"/>
  <c r="AL110" i="3"/>
  <c r="AG110" i="3"/>
  <c r="AP110" i="3"/>
  <c r="L110" i="3"/>
  <c r="S110" i="3"/>
  <c r="I110" i="3"/>
  <c r="G110" i="3" s="1"/>
  <c r="AU110" i="3"/>
  <c r="Q110" i="3"/>
  <c r="AA110" i="3"/>
  <c r="C110" i="3"/>
  <c r="AE110" i="3"/>
  <c r="A111" i="3"/>
  <c r="Q111" i="12" s="1"/>
  <c r="U110" i="3"/>
  <c r="AS110" i="3"/>
  <c r="AX110" i="3"/>
  <c r="H110" i="3"/>
  <c r="AR110" i="3"/>
  <c r="N110" i="3"/>
  <c r="V110" i="3"/>
  <c r="D110" i="3"/>
  <c r="J110" i="3"/>
  <c r="AF110" i="3"/>
  <c r="AB110" i="3"/>
  <c r="Z110" i="3"/>
  <c r="W110" i="3"/>
  <c r="K110" i="3"/>
  <c r="AO110" i="3"/>
  <c r="M110" i="3"/>
  <c r="AK110" i="3"/>
  <c r="AQ110" i="3"/>
  <c r="AD110" i="3"/>
  <c r="E110" i="3"/>
  <c r="O110" i="3"/>
  <c r="F110" i="3"/>
  <c r="BH110" i="3" l="1"/>
  <c r="BN110" i="3"/>
  <c r="BJ108" i="3"/>
  <c r="BA110" i="3"/>
  <c r="BT110" i="3"/>
  <c r="BZ110" i="3"/>
  <c r="BB110" i="3"/>
  <c r="AW111" i="3"/>
  <c r="AM111" i="3" s="1"/>
  <c r="AW176" i="3"/>
  <c r="BZ176" i="3" s="1"/>
  <c r="BD108" i="3"/>
  <c r="BW108" i="3"/>
  <c r="BX108" i="3" s="1"/>
  <c r="BU109" i="3"/>
  <c r="BV109" i="3" s="1"/>
  <c r="BP108" i="3"/>
  <c r="AY110" i="3"/>
  <c r="BM110" i="3"/>
  <c r="BO109" i="3"/>
  <c r="BP109" i="3" s="1"/>
  <c r="AH110" i="3"/>
  <c r="AI110" i="3" s="1"/>
  <c r="BI109" i="3"/>
  <c r="BG110" i="3"/>
  <c r="BS110" i="3"/>
  <c r="BC109" i="3"/>
  <c r="AC110" i="3"/>
  <c r="BY110" i="3" s="1"/>
  <c r="CF108" i="3"/>
  <c r="CG108" i="3"/>
  <c r="CE109" i="3"/>
  <c r="CA109" i="3"/>
  <c r="CB108" i="3"/>
  <c r="CC108" i="3"/>
  <c r="CD108" i="3" s="1"/>
  <c r="A201" i="3"/>
  <c r="Q201" i="12" s="1"/>
  <c r="AB111" i="3"/>
  <c r="AX111" i="3"/>
  <c r="H111" i="3"/>
  <c r="N111" i="3"/>
  <c r="AR111" i="3"/>
  <c r="A177" i="3"/>
  <c r="Q177" i="12" s="1"/>
  <c r="T111" i="3"/>
  <c r="AQ111" i="3"/>
  <c r="F111" i="3"/>
  <c r="W111" i="3"/>
  <c r="AL111" i="3"/>
  <c r="M111" i="3"/>
  <c r="K111" i="3"/>
  <c r="L111" i="3"/>
  <c r="Z111" i="3"/>
  <c r="AP111" i="3"/>
  <c r="C111" i="3"/>
  <c r="S111" i="3"/>
  <c r="D111" i="3"/>
  <c r="R111" i="3"/>
  <c r="AG111" i="3"/>
  <c r="AT111" i="3"/>
  <c r="AV111" i="3"/>
  <c r="J111" i="3"/>
  <c r="Y111" i="3"/>
  <c r="AO111" i="3"/>
  <c r="AA111" i="3"/>
  <c r="B111" i="3"/>
  <c r="Q111" i="3"/>
  <c r="AF111" i="3"/>
  <c r="AU111" i="3"/>
  <c r="E111" i="3"/>
  <c r="AN111" i="3"/>
  <c r="AS111" i="3"/>
  <c r="I111" i="3"/>
  <c r="G111" i="3" s="1"/>
  <c r="X111" i="3"/>
  <c r="AD111" i="3"/>
  <c r="A112" i="3"/>
  <c r="Q112" i="12" s="1"/>
  <c r="U111" i="3"/>
  <c r="O111" i="3"/>
  <c r="AK111" i="3"/>
  <c r="P111" i="3"/>
  <c r="V111" i="3"/>
  <c r="AE111" i="3"/>
  <c r="AG176" i="3"/>
  <c r="U176" i="3"/>
  <c r="AS176" i="3"/>
  <c r="I176" i="3"/>
  <c r="G176" i="3" s="1"/>
  <c r="AP176" i="3"/>
  <c r="AB176" i="3"/>
  <c r="O176" i="3"/>
  <c r="AN176" i="3"/>
  <c r="C176" i="3"/>
  <c r="AO176" i="3"/>
  <c r="R176" i="3"/>
  <c r="AA176" i="3"/>
  <c r="D176" i="3"/>
  <c r="AV176" i="3"/>
  <c r="F176" i="3"/>
  <c r="AD176" i="3"/>
  <c r="S176" i="3"/>
  <c r="N176" i="3"/>
  <c r="P176" i="3"/>
  <c r="J176" i="3"/>
  <c r="AM176" i="3"/>
  <c r="AU176" i="3"/>
  <c r="AR176" i="3"/>
  <c r="H176" i="3"/>
  <c r="Y176" i="3"/>
  <c r="Q176" i="3"/>
  <c r="AF176" i="3"/>
  <c r="L176" i="3"/>
  <c r="W176" i="3"/>
  <c r="AX176" i="3"/>
  <c r="AQ176" i="3"/>
  <c r="K176" i="3"/>
  <c r="AE176" i="3"/>
  <c r="BB176" i="3" s="1"/>
  <c r="M176" i="3"/>
  <c r="AL176" i="3"/>
  <c r="T176" i="3"/>
  <c r="AT176" i="3"/>
  <c r="V176" i="3"/>
  <c r="AK176" i="3"/>
  <c r="B176" i="3"/>
  <c r="Z176" i="3"/>
  <c r="X176" i="3"/>
  <c r="E176" i="3"/>
  <c r="BW109" i="3" l="1"/>
  <c r="BX109" i="3" s="1"/>
  <c r="BB111" i="3"/>
  <c r="BH176" i="3"/>
  <c r="BH111" i="3"/>
  <c r="BN176" i="3"/>
  <c r="BN111" i="3"/>
  <c r="BA176" i="3"/>
  <c r="BA111" i="3"/>
  <c r="BT111" i="3"/>
  <c r="BT176" i="3"/>
  <c r="BZ111" i="3"/>
  <c r="AW201" i="3"/>
  <c r="BZ201" i="3" s="1"/>
  <c r="AW177" i="3"/>
  <c r="BZ177" i="3" s="1"/>
  <c r="AW112" i="3"/>
  <c r="AM112" i="3" s="1"/>
  <c r="BI110" i="3"/>
  <c r="BJ110" i="3" s="1"/>
  <c r="BG176" i="3"/>
  <c r="BI176" i="3" s="1"/>
  <c r="BC110" i="3"/>
  <c r="BE110" i="3" s="1"/>
  <c r="BF110" i="3" s="1"/>
  <c r="BO110" i="3"/>
  <c r="BP110" i="3" s="1"/>
  <c r="AH176" i="3"/>
  <c r="AI176" i="3" s="1"/>
  <c r="BQ109" i="3"/>
  <c r="BR109" i="3" s="1"/>
  <c r="AC176" i="3"/>
  <c r="BY176" i="3" s="1"/>
  <c r="AC111" i="3"/>
  <c r="BY111" i="3" s="1"/>
  <c r="BU110" i="3"/>
  <c r="BV110" i="3" s="1"/>
  <c r="AH111" i="3"/>
  <c r="AI111" i="3" s="1"/>
  <c r="BM111" i="3"/>
  <c r="AY111" i="3"/>
  <c r="BJ109" i="3"/>
  <c r="BK109" i="3"/>
  <c r="BL109" i="3" s="1"/>
  <c r="BD109" i="3"/>
  <c r="BE109" i="3"/>
  <c r="BF109" i="3" s="1"/>
  <c r="CA110" i="3"/>
  <c r="BM176" i="3"/>
  <c r="BG111" i="3"/>
  <c r="BS176" i="3"/>
  <c r="CC109" i="3"/>
  <c r="CD109" i="3" s="1"/>
  <c r="CB109" i="3"/>
  <c r="CE110" i="3"/>
  <c r="BS111" i="3"/>
  <c r="AY176" i="3"/>
  <c r="CF109" i="3"/>
  <c r="CG109" i="3"/>
  <c r="A202" i="3"/>
  <c r="Q202" i="12" s="1"/>
  <c r="AL201" i="3"/>
  <c r="I201" i="3"/>
  <c r="G201" i="3" s="1"/>
  <c r="AF201" i="3"/>
  <c r="F201" i="3"/>
  <c r="AT201" i="3"/>
  <c r="T201" i="3"/>
  <c r="U201" i="3"/>
  <c r="M201" i="3"/>
  <c r="AX201" i="3"/>
  <c r="H201" i="3"/>
  <c r="AU201" i="3"/>
  <c r="AG201" i="3"/>
  <c r="AS201" i="3"/>
  <c r="Y201" i="3"/>
  <c r="V201" i="3"/>
  <c r="AK201" i="3"/>
  <c r="AR201" i="3"/>
  <c r="O201" i="3"/>
  <c r="P201" i="3"/>
  <c r="AM201" i="3"/>
  <c r="E201" i="3"/>
  <c r="A226" i="3"/>
  <c r="Q226" i="12" s="1"/>
  <c r="AA201" i="3"/>
  <c r="N201" i="3"/>
  <c r="AO201" i="3"/>
  <c r="Q201" i="3"/>
  <c r="S201" i="3"/>
  <c r="AQ201" i="3"/>
  <c r="AB201" i="3"/>
  <c r="AD201" i="3"/>
  <c r="C201" i="3"/>
  <c r="R201" i="3"/>
  <c r="AN201" i="3"/>
  <c r="AE201" i="3"/>
  <c r="BA201" i="3" s="1"/>
  <c r="L201" i="3"/>
  <c r="K201" i="3"/>
  <c r="W201" i="3"/>
  <c r="AP201" i="3"/>
  <c r="X201" i="3"/>
  <c r="Z201" i="3"/>
  <c r="J201" i="3"/>
  <c r="B201" i="3"/>
  <c r="D201" i="3"/>
  <c r="AV201" i="3"/>
  <c r="P112" i="3"/>
  <c r="V112" i="3"/>
  <c r="AT112" i="3"/>
  <c r="D112" i="3"/>
  <c r="R112" i="3"/>
  <c r="AG112" i="3"/>
  <c r="I112" i="3"/>
  <c r="G112" i="3" s="1"/>
  <c r="A113" i="3"/>
  <c r="Q113" i="12" s="1"/>
  <c r="AS112" i="3"/>
  <c r="H112" i="3"/>
  <c r="N112" i="3"/>
  <c r="AL112" i="3"/>
  <c r="J112" i="3"/>
  <c r="AP112" i="3"/>
  <c r="K112" i="3"/>
  <c r="A178" i="3"/>
  <c r="Q178" i="12" s="1"/>
  <c r="U112" i="3"/>
  <c r="F112" i="3"/>
  <c r="B112" i="3"/>
  <c r="W112" i="3"/>
  <c r="Q112" i="3"/>
  <c r="AV112" i="3"/>
  <c r="M112" i="3"/>
  <c r="AK112" i="3"/>
  <c r="AR112" i="3"/>
  <c r="AA112" i="3"/>
  <c r="X112" i="3"/>
  <c r="AO112" i="3"/>
  <c r="E112" i="3"/>
  <c r="AB112" i="3"/>
  <c r="AX112" i="3"/>
  <c r="Y112" i="3"/>
  <c r="AN112" i="3"/>
  <c r="O112" i="3"/>
  <c r="Z112" i="3"/>
  <c r="AE112" i="3"/>
  <c r="BN112" i="3" s="1"/>
  <c r="AF112" i="3"/>
  <c r="AU112" i="3"/>
  <c r="T112" i="3"/>
  <c r="AQ112" i="3"/>
  <c r="C112" i="3"/>
  <c r="S112" i="3"/>
  <c r="AD112" i="3"/>
  <c r="L112" i="3"/>
  <c r="J177" i="3"/>
  <c r="N177" i="3"/>
  <c r="W177" i="3"/>
  <c r="AE177" i="3"/>
  <c r="AC177" i="3" s="1"/>
  <c r="S177" i="3"/>
  <c r="AB177" i="3"/>
  <c r="T177" i="3"/>
  <c r="X177" i="3"/>
  <c r="AG177" i="3"/>
  <c r="L177" i="3"/>
  <c r="AX177" i="3"/>
  <c r="AO177" i="3"/>
  <c r="AQ177" i="3"/>
  <c r="P177" i="3"/>
  <c r="AK177" i="3"/>
  <c r="M177" i="3"/>
  <c r="O177" i="3"/>
  <c r="Q177" i="3"/>
  <c r="R177" i="3"/>
  <c r="AL177" i="3"/>
  <c r="AN177" i="3"/>
  <c r="U177" i="3"/>
  <c r="AF177" i="3"/>
  <c r="AA177" i="3"/>
  <c r="AT177" i="3"/>
  <c r="D177" i="3"/>
  <c r="AU177" i="3"/>
  <c r="AR177" i="3"/>
  <c r="B177" i="3"/>
  <c r="K177" i="3"/>
  <c r="AP177" i="3"/>
  <c r="C177" i="3"/>
  <c r="Z177" i="3"/>
  <c r="Y177" i="3"/>
  <c r="AD177" i="3"/>
  <c r="AV177" i="3"/>
  <c r="F177" i="3"/>
  <c r="V177" i="3"/>
  <c r="E177" i="3"/>
  <c r="H177" i="3"/>
  <c r="AS177" i="3"/>
  <c r="I177" i="3"/>
  <c r="G177" i="3" s="1"/>
  <c r="BK110" i="3" l="1"/>
  <c r="BL110" i="3" s="1"/>
  <c r="BQ110" i="3"/>
  <c r="BR110" i="3" s="1"/>
  <c r="BD110" i="3"/>
  <c r="AM177" i="3"/>
  <c r="BA112" i="3"/>
  <c r="BZ112" i="3"/>
  <c r="BT177" i="3"/>
  <c r="BT112" i="3"/>
  <c r="BT201" i="3"/>
  <c r="BB112" i="3"/>
  <c r="BB177" i="3"/>
  <c r="BB201" i="3"/>
  <c r="BH112" i="3"/>
  <c r="BH177" i="3"/>
  <c r="BH201" i="3"/>
  <c r="BN177" i="3"/>
  <c r="BN201" i="3"/>
  <c r="BA177" i="3"/>
  <c r="AW178" i="3"/>
  <c r="BZ178" i="3" s="1"/>
  <c r="AW113" i="3"/>
  <c r="BZ113" i="3" s="1"/>
  <c r="AW226" i="3"/>
  <c r="BZ226" i="3" s="1"/>
  <c r="AW202" i="3"/>
  <c r="BZ202" i="3" s="1"/>
  <c r="BO111" i="3"/>
  <c r="BQ111" i="3" s="1"/>
  <c r="BR111" i="3" s="1"/>
  <c r="BW110" i="3"/>
  <c r="BX110" i="3" s="1"/>
  <c r="BC111" i="3"/>
  <c r="BD111" i="3" s="1"/>
  <c r="BM201" i="3"/>
  <c r="AH201" i="3"/>
  <c r="AI201" i="3" s="1"/>
  <c r="AH177" i="3"/>
  <c r="AI177" i="3" s="1"/>
  <c r="AH112" i="3"/>
  <c r="AI112" i="3" s="1"/>
  <c r="BU176" i="3"/>
  <c r="BW176" i="3" s="1"/>
  <c r="BX176" i="3" s="1"/>
  <c r="AY201" i="3"/>
  <c r="BU111" i="3"/>
  <c r="BW111" i="3" s="1"/>
  <c r="BX111" i="3" s="1"/>
  <c r="AY112" i="3"/>
  <c r="BO176" i="3"/>
  <c r="BQ176" i="3" s="1"/>
  <c r="BR176" i="3" s="1"/>
  <c r="BG201" i="3"/>
  <c r="BI111" i="3"/>
  <c r="BK111" i="3" s="1"/>
  <c r="BL111" i="3" s="1"/>
  <c r="BJ176" i="3"/>
  <c r="BK176" i="3"/>
  <c r="BL176" i="3" s="1"/>
  <c r="CB110" i="3"/>
  <c r="CC110" i="3"/>
  <c r="CD110" i="3" s="1"/>
  <c r="BG177" i="3"/>
  <c r="BM177" i="3"/>
  <c r="CE111" i="3"/>
  <c r="CA111" i="3"/>
  <c r="AC112" i="3"/>
  <c r="CE176" i="3"/>
  <c r="CA176" i="3"/>
  <c r="BG112" i="3"/>
  <c r="BS112" i="3"/>
  <c r="BC176" i="3"/>
  <c r="BY177" i="3"/>
  <c r="BV111" i="3"/>
  <c r="BM112" i="3"/>
  <c r="BS201" i="3"/>
  <c r="CG110" i="3"/>
  <c r="CF110" i="3"/>
  <c r="AC201" i="3"/>
  <c r="BS177" i="3"/>
  <c r="AY177" i="3"/>
  <c r="A203" i="3"/>
  <c r="Q203" i="12" s="1"/>
  <c r="F226" i="3"/>
  <c r="U226" i="3"/>
  <c r="AK226" i="3"/>
  <c r="J226" i="3"/>
  <c r="AG226" i="3"/>
  <c r="W226" i="3"/>
  <c r="M226" i="3"/>
  <c r="AB226" i="3"/>
  <c r="B226" i="3"/>
  <c r="Y226" i="3"/>
  <c r="AO226" i="3"/>
  <c r="E226" i="3"/>
  <c r="T226" i="3"/>
  <c r="AR226" i="3"/>
  <c r="Q226" i="3"/>
  <c r="AF226" i="3"/>
  <c r="O226" i="3"/>
  <c r="L226" i="3"/>
  <c r="I226" i="3"/>
  <c r="G226" i="3" s="1"/>
  <c r="X226" i="3"/>
  <c r="AU226" i="3"/>
  <c r="D226" i="3"/>
  <c r="AA226" i="3"/>
  <c r="P226" i="3"/>
  <c r="AD226" i="3"/>
  <c r="AT226" i="3"/>
  <c r="S226" i="3"/>
  <c r="AQ226" i="3"/>
  <c r="H226" i="3"/>
  <c r="AV226" i="3"/>
  <c r="V226" i="3"/>
  <c r="AL226" i="3"/>
  <c r="K226" i="3"/>
  <c r="Z226" i="3"/>
  <c r="AX226" i="3"/>
  <c r="AN226" i="3"/>
  <c r="AP226" i="3"/>
  <c r="N226" i="3"/>
  <c r="AS226" i="3"/>
  <c r="AE226" i="3"/>
  <c r="BB226" i="3" s="1"/>
  <c r="R226" i="3"/>
  <c r="C226" i="3"/>
  <c r="R202" i="3"/>
  <c r="AR202" i="3"/>
  <c r="AD202" i="3"/>
  <c r="E202" i="3"/>
  <c r="S202" i="3"/>
  <c r="AU202" i="3"/>
  <c r="J202" i="3"/>
  <c r="AL202" i="3"/>
  <c r="L202" i="3"/>
  <c r="N202" i="3"/>
  <c r="AG202" i="3"/>
  <c r="V202" i="3"/>
  <c r="AO202" i="3"/>
  <c r="D202" i="3"/>
  <c r="AA202" i="3"/>
  <c r="AT202" i="3"/>
  <c r="AF202" i="3"/>
  <c r="AV202" i="3"/>
  <c r="M202" i="3"/>
  <c r="AP202" i="3"/>
  <c r="C202" i="3"/>
  <c r="AX202" i="3"/>
  <c r="A227" i="3"/>
  <c r="Q227" i="12" s="1"/>
  <c r="X202" i="3"/>
  <c r="AN202" i="3"/>
  <c r="Z202" i="3"/>
  <c r="H202" i="3"/>
  <c r="W202" i="3"/>
  <c r="AK202" i="3"/>
  <c r="I202" i="3"/>
  <c r="G202" i="3" s="1"/>
  <c r="U202" i="3"/>
  <c r="AB202" i="3"/>
  <c r="P202" i="3"/>
  <c r="T202" i="3"/>
  <c r="Q202" i="3"/>
  <c r="AQ202" i="3"/>
  <c r="F202" i="3"/>
  <c r="K202" i="3"/>
  <c r="AE202" i="3"/>
  <c r="BB202" i="3" s="1"/>
  <c r="B202" i="3"/>
  <c r="Y202" i="3"/>
  <c r="O202" i="3"/>
  <c r="AS202" i="3"/>
  <c r="AB113" i="3"/>
  <c r="B113" i="3"/>
  <c r="Q113" i="3"/>
  <c r="AF113" i="3"/>
  <c r="AV113" i="3"/>
  <c r="AR113" i="3"/>
  <c r="AN113" i="3"/>
  <c r="I113" i="3"/>
  <c r="G113" i="3" s="1"/>
  <c r="L113" i="3"/>
  <c r="P113" i="3"/>
  <c r="AE113" i="3"/>
  <c r="AC113" i="3" s="1"/>
  <c r="AU113" i="3"/>
  <c r="AT113" i="3"/>
  <c r="A179" i="3"/>
  <c r="Q179" i="12" s="1"/>
  <c r="AA113" i="3"/>
  <c r="AX113" i="3"/>
  <c r="W113" i="3"/>
  <c r="AD113" i="3"/>
  <c r="D113" i="3"/>
  <c r="H113" i="3"/>
  <c r="AL113" i="3"/>
  <c r="S113" i="3"/>
  <c r="AQ113" i="3"/>
  <c r="O113" i="3"/>
  <c r="V113" i="3"/>
  <c r="A114" i="3"/>
  <c r="Q114" i="12" s="1"/>
  <c r="K113" i="3"/>
  <c r="Z113" i="3"/>
  <c r="AP113" i="3"/>
  <c r="N113" i="3"/>
  <c r="AK113" i="3"/>
  <c r="J113" i="3"/>
  <c r="Y113" i="3"/>
  <c r="AO113" i="3"/>
  <c r="M113" i="3"/>
  <c r="U113" i="3"/>
  <c r="T113" i="3"/>
  <c r="AS113" i="3"/>
  <c r="C113" i="3"/>
  <c r="R113" i="3"/>
  <c r="AG113" i="3"/>
  <c r="AM113" i="3"/>
  <c r="F113" i="3"/>
  <c r="E113" i="3"/>
  <c r="X113" i="3"/>
  <c r="H178" i="3"/>
  <c r="AV178" i="3"/>
  <c r="T178" i="3"/>
  <c r="U178" i="3"/>
  <c r="AA178" i="3"/>
  <c r="AN178" i="3"/>
  <c r="S178" i="3"/>
  <c r="F178" i="3"/>
  <c r="E178" i="3"/>
  <c r="AF178" i="3"/>
  <c r="AR178" i="3"/>
  <c r="M178" i="3"/>
  <c r="R178" i="3"/>
  <c r="X178" i="3"/>
  <c r="AK178" i="3"/>
  <c r="AX178" i="3"/>
  <c r="L178" i="3"/>
  <c r="P178" i="3"/>
  <c r="AP178" i="3"/>
  <c r="W178" i="3"/>
  <c r="AS178" i="3"/>
  <c r="Q178" i="3"/>
  <c r="B178" i="3"/>
  <c r="D178" i="3"/>
  <c r="Z178" i="3"/>
  <c r="AQ178" i="3"/>
  <c r="AL178" i="3"/>
  <c r="AE178" i="3"/>
  <c r="BB178" i="3" s="1"/>
  <c r="C178" i="3"/>
  <c r="AU178" i="3"/>
  <c r="V178" i="3"/>
  <c r="Y178" i="3"/>
  <c r="O178" i="3"/>
  <c r="AT178" i="3"/>
  <c r="J178" i="3"/>
  <c r="AD178" i="3"/>
  <c r="K178" i="3"/>
  <c r="N178" i="3"/>
  <c r="AO178" i="3"/>
  <c r="AB178" i="3"/>
  <c r="AG178" i="3"/>
  <c r="I178" i="3"/>
  <c r="G178" i="3" s="1"/>
  <c r="AM178" i="3" l="1"/>
  <c r="AM202" i="3"/>
  <c r="AM226" i="3"/>
  <c r="BE111" i="3"/>
  <c r="BF111" i="3" s="1"/>
  <c r="BP111" i="3"/>
  <c r="BH202" i="3"/>
  <c r="BH226" i="3"/>
  <c r="BH113" i="3"/>
  <c r="BH178" i="3"/>
  <c r="BA202" i="3"/>
  <c r="BC202" i="3" s="1"/>
  <c r="BA226" i="3"/>
  <c r="BA113" i="3"/>
  <c r="BA178" i="3"/>
  <c r="BN202" i="3"/>
  <c r="BT113" i="3"/>
  <c r="BT178" i="3"/>
  <c r="BN226" i="3"/>
  <c r="BT202" i="3"/>
  <c r="BT226" i="3"/>
  <c r="BN113" i="3"/>
  <c r="BN178" i="3"/>
  <c r="BB113" i="3"/>
  <c r="AW179" i="3"/>
  <c r="AM179" i="3" s="1"/>
  <c r="AW227" i="3"/>
  <c r="AM227" i="3" s="1"/>
  <c r="AW114" i="3"/>
  <c r="BZ114" i="3" s="1"/>
  <c r="AW203" i="3"/>
  <c r="AM203" i="3" s="1"/>
  <c r="BO201" i="3"/>
  <c r="BP201" i="3" s="1"/>
  <c r="BU201" i="3"/>
  <c r="BV201" i="3" s="1"/>
  <c r="BV176" i="3"/>
  <c r="AH178" i="3"/>
  <c r="AI178" i="3" s="1"/>
  <c r="AH113" i="3"/>
  <c r="AI113" i="3" s="1"/>
  <c r="AH202" i="3"/>
  <c r="AI202" i="3" s="1"/>
  <c r="BP176" i="3"/>
  <c r="BU112" i="3"/>
  <c r="BW112" i="3" s="1"/>
  <c r="BX112" i="3" s="1"/>
  <c r="BM178" i="3"/>
  <c r="BO178" i="3" s="1"/>
  <c r="BC177" i="3"/>
  <c r="BE177" i="3" s="1"/>
  <c r="BF177" i="3" s="1"/>
  <c r="BI112" i="3"/>
  <c r="BK112" i="3" s="1"/>
  <c r="BL112" i="3" s="1"/>
  <c r="BU177" i="3"/>
  <c r="BV177" i="3" s="1"/>
  <c r="AY113" i="3"/>
  <c r="CE113" i="3" s="1"/>
  <c r="AY202" i="3"/>
  <c r="BS226" i="3"/>
  <c r="BJ111" i="3"/>
  <c r="BO177" i="3"/>
  <c r="BQ177" i="3" s="1"/>
  <c r="BR177" i="3" s="1"/>
  <c r="BY113" i="3"/>
  <c r="BS202" i="3"/>
  <c r="BO112" i="3"/>
  <c r="BQ112" i="3" s="1"/>
  <c r="BR112" i="3" s="1"/>
  <c r="BI201" i="3"/>
  <c r="BJ201" i="3" s="1"/>
  <c r="CB176" i="3"/>
  <c r="CC176" i="3"/>
  <c r="CD176" i="3" s="1"/>
  <c r="BS113" i="3"/>
  <c r="BG202" i="3"/>
  <c r="AC226" i="3"/>
  <c r="BY226" i="3" s="1"/>
  <c r="CF176" i="3"/>
  <c r="CG176" i="3"/>
  <c r="CA177" i="3"/>
  <c r="CE177" i="3"/>
  <c r="BY201" i="3"/>
  <c r="CE201" i="3"/>
  <c r="BC201" i="3"/>
  <c r="CE112" i="3"/>
  <c r="BY112" i="3"/>
  <c r="BG226" i="3"/>
  <c r="BC112" i="3"/>
  <c r="BM113" i="3"/>
  <c r="AY178" i="3"/>
  <c r="AC202" i="3"/>
  <c r="BY202" i="3" s="1"/>
  <c r="BM202" i="3"/>
  <c r="BM226" i="3"/>
  <c r="CB111" i="3"/>
  <c r="CC111" i="3"/>
  <c r="CD111" i="3" s="1"/>
  <c r="BI177" i="3"/>
  <c r="BS178" i="3"/>
  <c r="BG113" i="3"/>
  <c r="BG178" i="3"/>
  <c r="AC178" i="3"/>
  <c r="BY178" i="3" s="1"/>
  <c r="AY226" i="3"/>
  <c r="BD176" i="3"/>
  <c r="BE176" i="3"/>
  <c r="BF176" i="3" s="1"/>
  <c r="CG111" i="3"/>
  <c r="CF111" i="3"/>
  <c r="K227" i="3"/>
  <c r="Z227" i="3"/>
  <c r="AX227" i="3"/>
  <c r="C227" i="3"/>
  <c r="R227" i="3"/>
  <c r="AP227" i="3"/>
  <c r="AR227" i="3"/>
  <c r="Q227" i="3"/>
  <c r="AF227" i="3"/>
  <c r="I227" i="3"/>
  <c r="G227" i="3" s="1"/>
  <c r="X227" i="3"/>
  <c r="AQ227" i="3"/>
  <c r="AN227" i="3"/>
  <c r="D227" i="3"/>
  <c r="AT227" i="3"/>
  <c r="O227" i="3"/>
  <c r="J227" i="3"/>
  <c r="AE227" i="3"/>
  <c r="AU227" i="3"/>
  <c r="T227" i="3"/>
  <c r="L227" i="3"/>
  <c r="AD227" i="3"/>
  <c r="AA227" i="3"/>
  <c r="V227" i="3"/>
  <c r="E227" i="3"/>
  <c r="B227" i="3"/>
  <c r="AO227" i="3"/>
  <c r="W227" i="3"/>
  <c r="P227" i="3"/>
  <c r="AL227" i="3"/>
  <c r="AB227" i="3"/>
  <c r="S227" i="3"/>
  <c r="H227" i="3"/>
  <c r="N227" i="3"/>
  <c r="AK227" i="3"/>
  <c r="AV227" i="3"/>
  <c r="AG227" i="3"/>
  <c r="F227" i="3"/>
  <c r="U227" i="3"/>
  <c r="AS227" i="3"/>
  <c r="Y227" i="3"/>
  <c r="M227" i="3"/>
  <c r="A204" i="3"/>
  <c r="Q204" i="12" s="1"/>
  <c r="AU203" i="3"/>
  <c r="AD203" i="3"/>
  <c r="P203" i="3"/>
  <c r="C203" i="3"/>
  <c r="AR203" i="3"/>
  <c r="AQ203" i="3"/>
  <c r="Z203" i="3"/>
  <c r="N203" i="3"/>
  <c r="V203" i="3"/>
  <c r="H203" i="3"/>
  <c r="AF203" i="3"/>
  <c r="S203" i="3"/>
  <c r="AA203" i="3"/>
  <c r="B203" i="3"/>
  <c r="X203" i="3"/>
  <c r="W203" i="3"/>
  <c r="R203" i="3"/>
  <c r="AO203" i="3"/>
  <c r="K203" i="3"/>
  <c r="J203" i="3"/>
  <c r="AV203" i="3"/>
  <c r="AN203" i="3"/>
  <c r="AE203" i="3"/>
  <c r="BB203" i="3" s="1"/>
  <c r="O203" i="3"/>
  <c r="F203" i="3"/>
  <c r="AX203" i="3"/>
  <c r="I203" i="3"/>
  <c r="G203" i="3" s="1"/>
  <c r="Y203" i="3"/>
  <c r="AS203" i="3"/>
  <c r="AL203" i="3"/>
  <c r="Q203" i="3"/>
  <c r="AP203" i="3"/>
  <c r="L203" i="3"/>
  <c r="T203" i="3"/>
  <c r="E203" i="3"/>
  <c r="D203" i="3"/>
  <c r="AB203" i="3"/>
  <c r="AK203" i="3"/>
  <c r="M203" i="3"/>
  <c r="U203" i="3"/>
  <c r="AT203" i="3"/>
  <c r="AG203" i="3"/>
  <c r="AO179" i="3"/>
  <c r="AD179" i="3"/>
  <c r="U179" i="3"/>
  <c r="AS179" i="3"/>
  <c r="AN179" i="3"/>
  <c r="H179" i="3"/>
  <c r="AK179" i="3"/>
  <c r="F179" i="3"/>
  <c r="AE179" i="3"/>
  <c r="AC179" i="3" s="1"/>
  <c r="W179" i="3"/>
  <c r="J179" i="3"/>
  <c r="AQ179" i="3"/>
  <c r="AB179" i="3"/>
  <c r="Z179" i="3"/>
  <c r="Q179" i="3"/>
  <c r="L179" i="3"/>
  <c r="AF179" i="3"/>
  <c r="AG179" i="3"/>
  <c r="AX179" i="3"/>
  <c r="Y179" i="3"/>
  <c r="P179" i="3"/>
  <c r="R179" i="3"/>
  <c r="B179" i="3"/>
  <c r="AT179" i="3"/>
  <c r="E179" i="3"/>
  <c r="AR179" i="3"/>
  <c r="C179" i="3"/>
  <c r="M179" i="3"/>
  <c r="AP179" i="3"/>
  <c r="K179" i="3"/>
  <c r="D179" i="3"/>
  <c r="I179" i="3"/>
  <c r="G179" i="3" s="1"/>
  <c r="V179" i="3"/>
  <c r="T179" i="3"/>
  <c r="AU179" i="3"/>
  <c r="N179" i="3"/>
  <c r="X179" i="3"/>
  <c r="AV179" i="3"/>
  <c r="O179" i="3"/>
  <c r="AL179" i="3"/>
  <c r="S179" i="3"/>
  <c r="AA179" i="3"/>
  <c r="AV114" i="3"/>
  <c r="I114" i="3"/>
  <c r="G114" i="3" s="1"/>
  <c r="X114" i="3"/>
  <c r="AN114" i="3"/>
  <c r="E114" i="3"/>
  <c r="AB114" i="3"/>
  <c r="B114" i="3"/>
  <c r="P114" i="3"/>
  <c r="AE114" i="3"/>
  <c r="AC114" i="3" s="1"/>
  <c r="AU114" i="3"/>
  <c r="T114" i="3"/>
  <c r="AR114" i="3"/>
  <c r="AG114" i="3"/>
  <c r="AP114" i="3"/>
  <c r="O114" i="3"/>
  <c r="AT114" i="3"/>
  <c r="AA114" i="3"/>
  <c r="H114" i="3"/>
  <c r="W114" i="3"/>
  <c r="AD114" i="3"/>
  <c r="L114" i="3"/>
  <c r="A180" i="3"/>
  <c r="Q180" i="12" s="1"/>
  <c r="V114" i="3"/>
  <c r="D114" i="3"/>
  <c r="AX114" i="3"/>
  <c r="Y114" i="3"/>
  <c r="N114" i="3"/>
  <c r="AL114" i="3"/>
  <c r="S114" i="3"/>
  <c r="AQ114" i="3"/>
  <c r="F114" i="3"/>
  <c r="K114" i="3"/>
  <c r="Z114" i="3"/>
  <c r="Q114" i="3"/>
  <c r="M114" i="3"/>
  <c r="J114" i="3"/>
  <c r="AO114" i="3"/>
  <c r="A115" i="3"/>
  <c r="Q115" i="12" s="1"/>
  <c r="U114" i="3"/>
  <c r="AS114" i="3"/>
  <c r="C114" i="3"/>
  <c r="R114" i="3"/>
  <c r="AF114" i="3"/>
  <c r="AK114" i="3"/>
  <c r="BW201" i="3" l="1"/>
  <c r="BX201" i="3" s="1"/>
  <c r="AM114" i="3"/>
  <c r="BV112" i="3"/>
  <c r="BQ201" i="3"/>
  <c r="BR201" i="3" s="1"/>
  <c r="BB227" i="3"/>
  <c r="BT227" i="3"/>
  <c r="BD177" i="3"/>
  <c r="BH203" i="3"/>
  <c r="BZ179" i="3"/>
  <c r="BP112" i="3"/>
  <c r="BA203" i="3"/>
  <c r="BA227" i="3"/>
  <c r="BA179" i="3"/>
  <c r="BZ203" i="3"/>
  <c r="BT114" i="3"/>
  <c r="BZ227" i="3"/>
  <c r="BH179" i="3"/>
  <c r="BT203" i="3"/>
  <c r="BN114" i="3"/>
  <c r="BH227" i="3"/>
  <c r="BT179" i="3"/>
  <c r="BN203" i="3"/>
  <c r="BB114" i="3"/>
  <c r="BN227" i="3"/>
  <c r="BN179" i="3"/>
  <c r="BH114" i="3"/>
  <c r="BB179" i="3"/>
  <c r="BA114" i="3"/>
  <c r="AW180" i="3"/>
  <c r="AM180" i="3" s="1"/>
  <c r="AW204" i="3"/>
  <c r="AM204" i="3" s="1"/>
  <c r="AW115" i="3"/>
  <c r="AM115" i="3" s="1"/>
  <c r="BJ112" i="3"/>
  <c r="BC113" i="3"/>
  <c r="BU178" i="3"/>
  <c r="BV178" i="3" s="1"/>
  <c r="BU202" i="3"/>
  <c r="BW202" i="3" s="1"/>
  <c r="BX202" i="3" s="1"/>
  <c r="BI113" i="3"/>
  <c r="BW177" i="3"/>
  <c r="BX177" i="3" s="1"/>
  <c r="BM227" i="3"/>
  <c r="AH203" i="3"/>
  <c r="AI203" i="3" s="1"/>
  <c r="AH179" i="3"/>
  <c r="AI179" i="3" s="1"/>
  <c r="AH114" i="3"/>
  <c r="AI114" i="3" s="1"/>
  <c r="BM114" i="3"/>
  <c r="CA113" i="3"/>
  <c r="CB113" i="3" s="1"/>
  <c r="BG227" i="3"/>
  <c r="BG114" i="3"/>
  <c r="BO226" i="3"/>
  <c r="BP226" i="3" s="1"/>
  <c r="BU226" i="3"/>
  <c r="BV226" i="3" s="1"/>
  <c r="BS114" i="3"/>
  <c r="BY179" i="3"/>
  <c r="BY114" i="3"/>
  <c r="BS203" i="3"/>
  <c r="AY203" i="3"/>
  <c r="BD202" i="3"/>
  <c r="BE202" i="3"/>
  <c r="BF202" i="3" s="1"/>
  <c r="BG179" i="3"/>
  <c r="BS179" i="3"/>
  <c r="AC203" i="3"/>
  <c r="BY203" i="3" s="1"/>
  <c r="BO202" i="3"/>
  <c r="BQ202" i="3" s="1"/>
  <c r="BR202" i="3" s="1"/>
  <c r="BI226" i="3"/>
  <c r="BJ226" i="3" s="1"/>
  <c r="BK201" i="3"/>
  <c r="BL201" i="3" s="1"/>
  <c r="BU113" i="3"/>
  <c r="BV113" i="3" s="1"/>
  <c r="BP177" i="3"/>
  <c r="BG203" i="3"/>
  <c r="BS227" i="3"/>
  <c r="BI178" i="3"/>
  <c r="BJ178" i="3" s="1"/>
  <c r="BM179" i="3"/>
  <c r="CE202" i="3"/>
  <c r="CF202" i="3" s="1"/>
  <c r="BE113" i="3"/>
  <c r="BF113" i="3" s="1"/>
  <c r="BD113" i="3"/>
  <c r="CG113" i="3"/>
  <c r="CF113" i="3"/>
  <c r="BD112" i="3"/>
  <c r="BE112" i="3"/>
  <c r="BF112" i="3" s="1"/>
  <c r="CA226" i="3"/>
  <c r="CE226" i="3"/>
  <c r="CA202" i="3"/>
  <c r="CA112" i="3"/>
  <c r="BP178" i="3"/>
  <c r="BQ178" i="3"/>
  <c r="BR178" i="3" s="1"/>
  <c r="AY114" i="3"/>
  <c r="BC226" i="3"/>
  <c r="CA178" i="3"/>
  <c r="CE178" i="3"/>
  <c r="CG112" i="3"/>
  <c r="CF112" i="3"/>
  <c r="CC177" i="3"/>
  <c r="CD177" i="3" s="1"/>
  <c r="CB177" i="3"/>
  <c r="BK113" i="3"/>
  <c r="BL113" i="3" s="1"/>
  <c r="BJ113" i="3"/>
  <c r="BM203" i="3"/>
  <c r="AC227" i="3"/>
  <c r="BY227" i="3" s="1"/>
  <c r="AY227" i="3"/>
  <c r="BO113" i="3"/>
  <c r="BC178" i="3"/>
  <c r="BJ177" i="3"/>
  <c r="BK177" i="3"/>
  <c r="BL177" i="3" s="1"/>
  <c r="BD201" i="3"/>
  <c r="BE201" i="3"/>
  <c r="BF201" i="3" s="1"/>
  <c r="CF201" i="3"/>
  <c r="CG201" i="3"/>
  <c r="CF177" i="3"/>
  <c r="CG177" i="3"/>
  <c r="AY179" i="3"/>
  <c r="CA201" i="3"/>
  <c r="BI202" i="3"/>
  <c r="AL204" i="3"/>
  <c r="X204" i="3"/>
  <c r="L204" i="3"/>
  <c r="AK204" i="3"/>
  <c r="W204" i="3"/>
  <c r="K204" i="3"/>
  <c r="AV204" i="3"/>
  <c r="U204" i="3"/>
  <c r="H204" i="3"/>
  <c r="AR204" i="3"/>
  <c r="P204" i="3"/>
  <c r="D204" i="3"/>
  <c r="AO204" i="3"/>
  <c r="AB204" i="3"/>
  <c r="O204" i="3"/>
  <c r="C204" i="3"/>
  <c r="AT204" i="3"/>
  <c r="M204" i="3"/>
  <c r="AS204" i="3"/>
  <c r="AN204" i="3"/>
  <c r="E204" i="3"/>
  <c r="AF204" i="3"/>
  <c r="AA204" i="3"/>
  <c r="AE204" i="3"/>
  <c r="AC204" i="3" s="1"/>
  <c r="T204" i="3"/>
  <c r="S204" i="3"/>
  <c r="AD204" i="3"/>
  <c r="F204" i="3"/>
  <c r="V204" i="3"/>
  <c r="AG204" i="3"/>
  <c r="R204" i="3"/>
  <c r="AU204" i="3"/>
  <c r="AP204" i="3"/>
  <c r="Z204" i="3"/>
  <c r="AX204" i="3"/>
  <c r="I204" i="3"/>
  <c r="G204" i="3" s="1"/>
  <c r="N204" i="3"/>
  <c r="AQ204" i="3"/>
  <c r="Q204" i="3"/>
  <c r="B204" i="3"/>
  <c r="Y204" i="3"/>
  <c r="J204" i="3"/>
  <c r="A205" i="3"/>
  <c r="Q205" i="12" s="1"/>
  <c r="AB115" i="3"/>
  <c r="B115" i="3"/>
  <c r="Q115" i="3"/>
  <c r="AF115" i="3"/>
  <c r="AV115" i="3"/>
  <c r="M115" i="3"/>
  <c r="A116" i="3"/>
  <c r="Q116" i="12" s="1"/>
  <c r="T115" i="3"/>
  <c r="AR115" i="3"/>
  <c r="I115" i="3"/>
  <c r="G115" i="3" s="1"/>
  <c r="X115" i="3"/>
  <c r="AN115" i="3"/>
  <c r="AK115" i="3"/>
  <c r="Y115" i="3"/>
  <c r="L115" i="3"/>
  <c r="P115" i="3"/>
  <c r="AE115" i="3"/>
  <c r="AU115" i="3"/>
  <c r="E115" i="3"/>
  <c r="A181" i="3"/>
  <c r="Q181" i="12" s="1"/>
  <c r="D115" i="3"/>
  <c r="AA115" i="3"/>
  <c r="AX115" i="3"/>
  <c r="H115" i="3"/>
  <c r="W115" i="3"/>
  <c r="AD115" i="3"/>
  <c r="S115" i="3"/>
  <c r="AQ115" i="3"/>
  <c r="O115" i="3"/>
  <c r="V115" i="3"/>
  <c r="AT115" i="3"/>
  <c r="AO115" i="3"/>
  <c r="K115" i="3"/>
  <c r="Z115" i="3"/>
  <c r="AP115" i="3"/>
  <c r="N115" i="3"/>
  <c r="AL115" i="3"/>
  <c r="AS115" i="3"/>
  <c r="C115" i="3"/>
  <c r="R115" i="3"/>
  <c r="AG115" i="3"/>
  <c r="F115" i="3"/>
  <c r="J115" i="3"/>
  <c r="U115" i="3"/>
  <c r="J180" i="3"/>
  <c r="AV180" i="3"/>
  <c r="S180" i="3"/>
  <c r="P180" i="3"/>
  <c r="Y180" i="3"/>
  <c r="AU180" i="3"/>
  <c r="AG180" i="3"/>
  <c r="AT180" i="3"/>
  <c r="AS180" i="3"/>
  <c r="I180" i="3"/>
  <c r="G180" i="3" s="1"/>
  <c r="V180" i="3"/>
  <c r="AO180" i="3"/>
  <c r="X180" i="3"/>
  <c r="K180" i="3"/>
  <c r="AE180" i="3"/>
  <c r="H180" i="3"/>
  <c r="AQ180" i="3"/>
  <c r="AP180" i="3"/>
  <c r="AL180" i="3"/>
  <c r="T180" i="3"/>
  <c r="AX180" i="3"/>
  <c r="AR180" i="3"/>
  <c r="AA180" i="3"/>
  <c r="U180" i="3"/>
  <c r="F180" i="3"/>
  <c r="Q180" i="3"/>
  <c r="AD180" i="3"/>
  <c r="O180" i="3"/>
  <c r="C180" i="3"/>
  <c r="R180" i="3"/>
  <c r="L180" i="3"/>
  <c r="M180" i="3"/>
  <c r="Z180" i="3"/>
  <c r="AF180" i="3"/>
  <c r="W180" i="3"/>
  <c r="AB180" i="3"/>
  <c r="N180" i="3"/>
  <c r="B180" i="3"/>
  <c r="E180" i="3"/>
  <c r="AK180" i="3"/>
  <c r="D180" i="3"/>
  <c r="AN180" i="3"/>
  <c r="BC114" i="3" l="1"/>
  <c r="BD114" i="3" s="1"/>
  <c r="BW178" i="3"/>
  <c r="BX178" i="3" s="1"/>
  <c r="BV202" i="3"/>
  <c r="BI114" i="3"/>
  <c r="BK114" i="3" s="1"/>
  <c r="BL114" i="3" s="1"/>
  <c r="BA180" i="3"/>
  <c r="BA115" i="3"/>
  <c r="BZ180" i="3"/>
  <c r="BZ115" i="3"/>
  <c r="BT204" i="3"/>
  <c r="BT180" i="3"/>
  <c r="BH115" i="3"/>
  <c r="BB204" i="3"/>
  <c r="BT115" i="3"/>
  <c r="BZ204" i="3"/>
  <c r="BB180" i="3"/>
  <c r="BN115" i="3"/>
  <c r="BH204" i="3"/>
  <c r="BH180" i="3"/>
  <c r="BB115" i="3"/>
  <c r="BN204" i="3"/>
  <c r="BN180" i="3"/>
  <c r="BA204" i="3"/>
  <c r="AW205" i="3"/>
  <c r="BZ205" i="3" s="1"/>
  <c r="AW116" i="3"/>
  <c r="BZ116" i="3" s="1"/>
  <c r="AW181" i="3"/>
  <c r="BZ181" i="3" s="1"/>
  <c r="BU203" i="3"/>
  <c r="BV203" i="3" s="1"/>
  <c r="BI227" i="3"/>
  <c r="BU114" i="3"/>
  <c r="BV114" i="3" s="1"/>
  <c r="BO114" i="3"/>
  <c r="BC227" i="3"/>
  <c r="BO203" i="3"/>
  <c r="BQ203" i="3" s="1"/>
  <c r="BR203" i="3" s="1"/>
  <c r="BM115" i="3"/>
  <c r="BI203" i="3"/>
  <c r="BK203" i="3" s="1"/>
  <c r="BL203" i="3" s="1"/>
  <c r="BC179" i="3"/>
  <c r="BE179" i="3" s="1"/>
  <c r="BF179" i="3" s="1"/>
  <c r="BO227" i="3"/>
  <c r="BP227" i="3" s="1"/>
  <c r="BU227" i="3"/>
  <c r="BV227" i="3" s="1"/>
  <c r="AH115" i="3"/>
  <c r="AI115" i="3" s="1"/>
  <c r="AH204" i="3"/>
  <c r="AI204" i="3" s="1"/>
  <c r="BO179" i="3"/>
  <c r="BP179" i="3" s="1"/>
  <c r="BI179" i="3"/>
  <c r="BJ179" i="3" s="1"/>
  <c r="AH180" i="3"/>
  <c r="AI180" i="3" s="1"/>
  <c r="CA203" i="3"/>
  <c r="CB203" i="3" s="1"/>
  <c r="CC113" i="3"/>
  <c r="CD113" i="3" s="1"/>
  <c r="BW113" i="3"/>
  <c r="BX113" i="3" s="1"/>
  <c r="BK178" i="3"/>
  <c r="BL178" i="3" s="1"/>
  <c r="BC203" i="3"/>
  <c r="BD203" i="3" s="1"/>
  <c r="BP202" i="3"/>
  <c r="BS204" i="3"/>
  <c r="BU179" i="3"/>
  <c r="BV179" i="3" s="1"/>
  <c r="BG115" i="3"/>
  <c r="BJ227" i="3"/>
  <c r="AC180" i="3"/>
  <c r="BY180" i="3" s="1"/>
  <c r="CE203" i="3"/>
  <c r="BP114" i="3"/>
  <c r="BQ114" i="3"/>
  <c r="BR114" i="3" s="1"/>
  <c r="BW114" i="3"/>
  <c r="BX114" i="3" s="1"/>
  <c r="BS180" i="3"/>
  <c r="BW203" i="3"/>
  <c r="BX203" i="3" s="1"/>
  <c r="BM180" i="3"/>
  <c r="BG204" i="3"/>
  <c r="BG180" i="3"/>
  <c r="AY204" i="3"/>
  <c r="CE204" i="3" s="1"/>
  <c r="CG202" i="3"/>
  <c r="BM204" i="3"/>
  <c r="BY204" i="3"/>
  <c r="CC178" i="3"/>
  <c r="CD178" i="3" s="1"/>
  <c r="CB178" i="3"/>
  <c r="BE114" i="3"/>
  <c r="BF114" i="3" s="1"/>
  <c r="BJ114" i="3"/>
  <c r="CB112" i="3"/>
  <c r="CC112" i="3"/>
  <c r="CD112" i="3" s="1"/>
  <c r="CB202" i="3"/>
  <c r="CC202" i="3"/>
  <c r="CD202" i="3" s="1"/>
  <c r="CC201" i="3"/>
  <c r="CD201" i="3" s="1"/>
  <c r="CB201" i="3"/>
  <c r="BE178" i="3"/>
  <c r="BF178" i="3" s="1"/>
  <c r="BD178" i="3"/>
  <c r="BQ113" i="3"/>
  <c r="BR113" i="3" s="1"/>
  <c r="BP113" i="3"/>
  <c r="CG178" i="3"/>
  <c r="CF178" i="3"/>
  <c r="AY115" i="3"/>
  <c r="BD226" i="3"/>
  <c r="BD227" i="3"/>
  <c r="CA179" i="3"/>
  <c r="CE179" i="3"/>
  <c r="CA227" i="3"/>
  <c r="CE227" i="3"/>
  <c r="AC115" i="3"/>
  <c r="BY115" i="3" s="1"/>
  <c r="BS115" i="3"/>
  <c r="CB226" i="3"/>
  <c r="CF226" i="3"/>
  <c r="AY180" i="3"/>
  <c r="BK202" i="3"/>
  <c r="BL202" i="3" s="1"/>
  <c r="BJ202" i="3"/>
  <c r="CA114" i="3"/>
  <c r="CE114" i="3"/>
  <c r="A206" i="3"/>
  <c r="Q206" i="12" s="1"/>
  <c r="AB205" i="3"/>
  <c r="H205" i="3"/>
  <c r="Z205" i="3"/>
  <c r="D205" i="3"/>
  <c r="X205" i="3"/>
  <c r="B205" i="3"/>
  <c r="AS205" i="3"/>
  <c r="P205" i="3"/>
  <c r="AQ205" i="3"/>
  <c r="L205" i="3"/>
  <c r="AK205" i="3"/>
  <c r="R205" i="3"/>
  <c r="T205" i="3"/>
  <c r="J205" i="3"/>
  <c r="S205" i="3"/>
  <c r="AR205" i="3"/>
  <c r="M205" i="3"/>
  <c r="N205" i="3"/>
  <c r="O205" i="3"/>
  <c r="AP205" i="3"/>
  <c r="U205" i="3"/>
  <c r="V205" i="3"/>
  <c r="W205" i="3"/>
  <c r="AF205" i="3"/>
  <c r="AD205" i="3"/>
  <c r="K205" i="3"/>
  <c r="AT205" i="3"/>
  <c r="AV205" i="3"/>
  <c r="I205" i="3"/>
  <c r="G205" i="3" s="1"/>
  <c r="AA205" i="3"/>
  <c r="F205" i="3"/>
  <c r="AG205" i="3"/>
  <c r="C205" i="3"/>
  <c r="AU205" i="3"/>
  <c r="AX205" i="3"/>
  <c r="AL205" i="3"/>
  <c r="Y205" i="3"/>
  <c r="E205" i="3"/>
  <c r="AO205" i="3"/>
  <c r="AE205" i="3"/>
  <c r="AN205" i="3"/>
  <c r="Q205" i="3"/>
  <c r="E181" i="3"/>
  <c r="L181" i="3"/>
  <c r="AA181" i="3"/>
  <c r="AB181" i="3"/>
  <c r="AS181" i="3"/>
  <c r="AD181" i="3"/>
  <c r="AV181" i="3"/>
  <c r="D181" i="3"/>
  <c r="V181" i="3"/>
  <c r="M181" i="3"/>
  <c r="AU181" i="3"/>
  <c r="U181" i="3"/>
  <c r="AP181" i="3"/>
  <c r="AQ181" i="3"/>
  <c r="I181" i="3"/>
  <c r="G181" i="3" s="1"/>
  <c r="Z181" i="3"/>
  <c r="AX181" i="3"/>
  <c r="Y181" i="3"/>
  <c r="AL181" i="3"/>
  <c r="AF181" i="3"/>
  <c r="AN181" i="3"/>
  <c r="AO181" i="3"/>
  <c r="Q181" i="3"/>
  <c r="AK181" i="3"/>
  <c r="J181" i="3"/>
  <c r="AE181" i="3"/>
  <c r="B181" i="3"/>
  <c r="C181" i="3"/>
  <c r="O181" i="3"/>
  <c r="AT181" i="3"/>
  <c r="W181" i="3"/>
  <c r="H181" i="3"/>
  <c r="K181" i="3"/>
  <c r="AR181" i="3"/>
  <c r="AG181" i="3"/>
  <c r="S181" i="3"/>
  <c r="R181" i="3"/>
  <c r="T181" i="3"/>
  <c r="X181" i="3"/>
  <c r="F181" i="3"/>
  <c r="P181" i="3"/>
  <c r="N181" i="3"/>
  <c r="X116" i="3"/>
  <c r="AN116" i="3"/>
  <c r="E116" i="3"/>
  <c r="AB116" i="3"/>
  <c r="B116" i="3"/>
  <c r="I116" i="3"/>
  <c r="G116" i="3" s="1"/>
  <c r="P116" i="3"/>
  <c r="AE116" i="3"/>
  <c r="AU116" i="3"/>
  <c r="T116" i="3"/>
  <c r="AR116" i="3"/>
  <c r="AP116" i="3"/>
  <c r="H116" i="3"/>
  <c r="W116" i="3"/>
  <c r="AD116" i="3"/>
  <c r="L116" i="3"/>
  <c r="AG116" i="3"/>
  <c r="A182" i="3"/>
  <c r="Q182" i="12" s="1"/>
  <c r="O116" i="3"/>
  <c r="V116" i="3"/>
  <c r="AT116" i="3"/>
  <c r="D116" i="3"/>
  <c r="AA116" i="3"/>
  <c r="AX116" i="3"/>
  <c r="N116" i="3"/>
  <c r="AL116" i="3"/>
  <c r="S116" i="3"/>
  <c r="AQ116" i="3"/>
  <c r="Y116" i="3"/>
  <c r="F116" i="3"/>
  <c r="K116" i="3"/>
  <c r="Z116" i="3"/>
  <c r="AO116" i="3"/>
  <c r="A117" i="3"/>
  <c r="Q117" i="12" s="1"/>
  <c r="U116" i="3"/>
  <c r="AS116" i="3"/>
  <c r="C116" i="3"/>
  <c r="R116" i="3"/>
  <c r="Q116" i="3"/>
  <c r="AF116" i="3"/>
  <c r="AV116" i="3"/>
  <c r="M116" i="3"/>
  <c r="AK116" i="3"/>
  <c r="J116" i="3"/>
  <c r="AM116" i="3" l="1"/>
  <c r="BN205" i="3"/>
  <c r="AM205" i="3"/>
  <c r="BU204" i="3"/>
  <c r="BN116" i="3"/>
  <c r="BK179" i="3"/>
  <c r="BL179" i="3" s="1"/>
  <c r="BN181" i="3"/>
  <c r="AM181" i="3"/>
  <c r="BJ203" i="3"/>
  <c r="BA181" i="3"/>
  <c r="BA116" i="3"/>
  <c r="BA205" i="3"/>
  <c r="BT181" i="3"/>
  <c r="BT116" i="3"/>
  <c r="BT205" i="3"/>
  <c r="BB181" i="3"/>
  <c r="BB116" i="3"/>
  <c r="BB205" i="3"/>
  <c r="BH181" i="3"/>
  <c r="BH116" i="3"/>
  <c r="BH205" i="3"/>
  <c r="AW182" i="3"/>
  <c r="BZ182" i="3" s="1"/>
  <c r="AW206" i="3"/>
  <c r="AM206" i="3" s="1"/>
  <c r="AW117" i="3"/>
  <c r="AM117" i="3" s="1"/>
  <c r="BP203" i="3"/>
  <c r="BE203" i="3"/>
  <c r="BF203" i="3" s="1"/>
  <c r="BO115" i="3"/>
  <c r="BP115" i="3" s="1"/>
  <c r="CC203" i="3"/>
  <c r="CD203" i="3" s="1"/>
  <c r="BQ179" i="3"/>
  <c r="BR179" i="3" s="1"/>
  <c r="BD179" i="3"/>
  <c r="BG205" i="3"/>
  <c r="BC204" i="3"/>
  <c r="BE204" i="3" s="1"/>
  <c r="BF204" i="3" s="1"/>
  <c r="BU115" i="3"/>
  <c r="BV115" i="3" s="1"/>
  <c r="BI204" i="3"/>
  <c r="BJ204" i="3" s="1"/>
  <c r="AH181" i="3"/>
  <c r="AI181" i="3" s="1"/>
  <c r="AH116" i="3"/>
  <c r="AI116" i="3" s="1"/>
  <c r="BM205" i="3"/>
  <c r="BI115" i="3"/>
  <c r="BJ115" i="3" s="1"/>
  <c r="AH205" i="3"/>
  <c r="AI205" i="3" s="1"/>
  <c r="BU180" i="3"/>
  <c r="BW180" i="3" s="1"/>
  <c r="BX180" i="3" s="1"/>
  <c r="BW179" i="3"/>
  <c r="BX179" i="3" s="1"/>
  <c r="BS181" i="3"/>
  <c r="BV204" i="3"/>
  <c r="BW204" i="3"/>
  <c r="BX204" i="3" s="1"/>
  <c r="CA204" i="3"/>
  <c r="CB204" i="3" s="1"/>
  <c r="BM116" i="3"/>
  <c r="BC180" i="3"/>
  <c r="AC181" i="3"/>
  <c r="BY181" i="3" s="1"/>
  <c r="CG203" i="3"/>
  <c r="CF203" i="3"/>
  <c r="BC115" i="3"/>
  <c r="BE115" i="3" s="1"/>
  <c r="BF115" i="3" s="1"/>
  <c r="AC116" i="3"/>
  <c r="BY116" i="3" s="1"/>
  <c r="BO180" i="3"/>
  <c r="BQ180" i="3" s="1"/>
  <c r="BR180" i="3" s="1"/>
  <c r="BI180" i="3"/>
  <c r="BG116" i="3"/>
  <c r="BO204" i="3"/>
  <c r="CB227" i="3"/>
  <c r="BS116" i="3"/>
  <c r="BM181" i="3"/>
  <c r="BG181" i="3"/>
  <c r="AY205" i="3"/>
  <c r="CF227" i="3"/>
  <c r="AC205" i="3"/>
  <c r="BY205" i="3" s="1"/>
  <c r="CE115" i="3"/>
  <c r="CA115" i="3"/>
  <c r="AY116" i="3"/>
  <c r="CA180" i="3"/>
  <c r="CE180" i="3"/>
  <c r="CF179" i="3"/>
  <c r="CG179" i="3"/>
  <c r="CC179" i="3"/>
  <c r="CD179" i="3" s="1"/>
  <c r="CB179" i="3"/>
  <c r="CG114" i="3"/>
  <c r="CF114" i="3"/>
  <c r="CF204" i="3"/>
  <c r="CG204" i="3"/>
  <c r="AY181" i="3"/>
  <c r="BS205" i="3"/>
  <c r="CB114" i="3"/>
  <c r="CC114" i="3"/>
  <c r="CD114" i="3" s="1"/>
  <c r="A207" i="3"/>
  <c r="Q207" i="12" s="1"/>
  <c r="AV206" i="3"/>
  <c r="AN206" i="3"/>
  <c r="AE206" i="3"/>
  <c r="W206" i="3"/>
  <c r="O206" i="3"/>
  <c r="P206" i="3"/>
  <c r="X206" i="3"/>
  <c r="AO206" i="3"/>
  <c r="AP206" i="3"/>
  <c r="C206" i="3"/>
  <c r="E206" i="3"/>
  <c r="AD206" i="3"/>
  <c r="H206" i="3"/>
  <c r="AX206" i="3"/>
  <c r="B206" i="3"/>
  <c r="K206" i="3"/>
  <c r="D206" i="3"/>
  <c r="M206" i="3"/>
  <c r="AF206" i="3"/>
  <c r="J206" i="3"/>
  <c r="S206" i="3"/>
  <c r="I206" i="3"/>
  <c r="G206" i="3" s="1"/>
  <c r="Z206" i="3"/>
  <c r="AB206" i="3"/>
  <c r="AL206" i="3"/>
  <c r="Q206" i="3"/>
  <c r="AQ206" i="3"/>
  <c r="AR206" i="3"/>
  <c r="AK206" i="3"/>
  <c r="L206" i="3"/>
  <c r="AU206" i="3"/>
  <c r="V206" i="3"/>
  <c r="T206" i="3"/>
  <c r="AT206" i="3"/>
  <c r="AS206" i="3"/>
  <c r="AA206" i="3"/>
  <c r="Y206" i="3"/>
  <c r="N206" i="3"/>
  <c r="F206" i="3"/>
  <c r="R206" i="3"/>
  <c r="AG206" i="3"/>
  <c r="U206" i="3"/>
  <c r="AO182" i="3"/>
  <c r="AQ182" i="3"/>
  <c r="AV182" i="3"/>
  <c r="P182" i="3"/>
  <c r="W182" i="3"/>
  <c r="M182" i="3"/>
  <c r="V182" i="3"/>
  <c r="Q182" i="3"/>
  <c r="J182" i="3"/>
  <c r="AX182" i="3"/>
  <c r="H182" i="3"/>
  <c r="AE182" i="3"/>
  <c r="BT182" i="3" s="1"/>
  <c r="AN182" i="3"/>
  <c r="AA182" i="3"/>
  <c r="AD182" i="3"/>
  <c r="AF182" i="3"/>
  <c r="Z182" i="3"/>
  <c r="AS182" i="3"/>
  <c r="AB182" i="3"/>
  <c r="B182" i="3"/>
  <c r="E182" i="3"/>
  <c r="X182" i="3"/>
  <c r="AG182" i="3"/>
  <c r="AT182" i="3"/>
  <c r="L182" i="3"/>
  <c r="AU182" i="3"/>
  <c r="K182" i="3"/>
  <c r="T182" i="3"/>
  <c r="F182" i="3"/>
  <c r="S182" i="3"/>
  <c r="C182" i="3"/>
  <c r="I182" i="3"/>
  <c r="G182" i="3" s="1"/>
  <c r="AP182" i="3"/>
  <c r="R182" i="3"/>
  <c r="AL182" i="3"/>
  <c r="U182" i="3"/>
  <c r="N182" i="3"/>
  <c r="O182" i="3"/>
  <c r="Y182" i="3"/>
  <c r="D182" i="3"/>
  <c r="AK182" i="3"/>
  <c r="AR182" i="3"/>
  <c r="AB117" i="3"/>
  <c r="B117" i="3"/>
  <c r="Q117" i="3"/>
  <c r="AF117" i="3"/>
  <c r="AV117" i="3"/>
  <c r="U117" i="3"/>
  <c r="J117" i="3"/>
  <c r="T117" i="3"/>
  <c r="AR117" i="3"/>
  <c r="I117" i="3"/>
  <c r="G117" i="3" s="1"/>
  <c r="X117" i="3"/>
  <c r="AN117" i="3"/>
  <c r="A118" i="3"/>
  <c r="Q118" i="12" s="1"/>
  <c r="L117" i="3"/>
  <c r="P117" i="3"/>
  <c r="AE117" i="3"/>
  <c r="AU117" i="3"/>
  <c r="M117" i="3"/>
  <c r="A183" i="3"/>
  <c r="Q183" i="12" s="1"/>
  <c r="D117" i="3"/>
  <c r="AA117" i="3"/>
  <c r="AX117" i="3"/>
  <c r="H117" i="3"/>
  <c r="W117" i="3"/>
  <c r="AD117" i="3"/>
  <c r="Y117" i="3"/>
  <c r="S117" i="3"/>
  <c r="AQ117" i="3"/>
  <c r="O117" i="3"/>
  <c r="V117" i="3"/>
  <c r="E117" i="3"/>
  <c r="K117" i="3"/>
  <c r="Z117" i="3"/>
  <c r="AP117" i="3"/>
  <c r="N117" i="3"/>
  <c r="AL117" i="3"/>
  <c r="AS117" i="3"/>
  <c r="C117" i="3"/>
  <c r="R117" i="3"/>
  <c r="AG117" i="3"/>
  <c r="F117" i="3"/>
  <c r="AT117" i="3"/>
  <c r="AK117" i="3"/>
  <c r="AO117" i="3"/>
  <c r="BD204" i="3" l="1"/>
  <c r="BT117" i="3"/>
  <c r="BT206" i="3"/>
  <c r="AM182" i="3"/>
  <c r="BQ115" i="3"/>
  <c r="BR115" i="3" s="1"/>
  <c r="BN206" i="3"/>
  <c r="BN182" i="3"/>
  <c r="BN117" i="3"/>
  <c r="BB206" i="3"/>
  <c r="BB182" i="3"/>
  <c r="BB117" i="3"/>
  <c r="BH206" i="3"/>
  <c r="BH182" i="3"/>
  <c r="BA117" i="3"/>
  <c r="BA206" i="3"/>
  <c r="BA182" i="3"/>
  <c r="BH117" i="3"/>
  <c r="BZ117" i="3"/>
  <c r="BZ206" i="3"/>
  <c r="AW183" i="3"/>
  <c r="BZ183" i="3" s="1"/>
  <c r="AW207" i="3"/>
  <c r="BZ207" i="3" s="1"/>
  <c r="AW118" i="3"/>
  <c r="BZ118" i="3" s="1"/>
  <c r="BI205" i="3"/>
  <c r="BK205" i="3" s="1"/>
  <c r="BL205" i="3" s="1"/>
  <c r="BW115" i="3"/>
  <c r="BX115" i="3" s="1"/>
  <c r="BU181" i="3"/>
  <c r="BV181" i="3" s="1"/>
  <c r="CC204" i="3"/>
  <c r="CD204" i="3" s="1"/>
  <c r="BO205" i="3"/>
  <c r="BU205" i="3"/>
  <c r="BV205" i="3" s="1"/>
  <c r="BK115" i="3"/>
  <c r="BL115" i="3" s="1"/>
  <c r="BC181" i="3"/>
  <c r="BD181" i="3" s="1"/>
  <c r="AH182" i="3"/>
  <c r="AI182" i="3" s="1"/>
  <c r="AH206" i="3"/>
  <c r="AI206" i="3" s="1"/>
  <c r="BK204" i="3"/>
  <c r="BL204" i="3" s="1"/>
  <c r="BV180" i="3"/>
  <c r="AH117" i="3"/>
  <c r="AI117" i="3" s="1"/>
  <c r="BD115" i="3"/>
  <c r="BP180" i="3"/>
  <c r="BO116" i="3"/>
  <c r="BQ116" i="3" s="1"/>
  <c r="BR116" i="3" s="1"/>
  <c r="BG206" i="3"/>
  <c r="BE180" i="3"/>
  <c r="BF180" i="3" s="1"/>
  <c r="BD180" i="3"/>
  <c r="BS117" i="3"/>
  <c r="BI116" i="3"/>
  <c r="BK116" i="3" s="1"/>
  <c r="BL116" i="3" s="1"/>
  <c r="BM117" i="3"/>
  <c r="BJ180" i="3"/>
  <c r="BK180" i="3"/>
  <c r="BL180" i="3" s="1"/>
  <c r="AY206" i="3"/>
  <c r="BC205" i="3"/>
  <c r="BD205" i="3" s="1"/>
  <c r="AC206" i="3"/>
  <c r="BY206" i="3" s="1"/>
  <c r="BM182" i="3"/>
  <c r="BP204" i="3"/>
  <c r="BQ204" i="3"/>
  <c r="BR204" i="3" s="1"/>
  <c r="BP205" i="3"/>
  <c r="BQ205" i="3"/>
  <c r="BR205" i="3" s="1"/>
  <c r="BG182" i="3"/>
  <c r="CC180" i="3"/>
  <c r="CD180" i="3" s="1"/>
  <c r="CB180" i="3"/>
  <c r="AY182" i="3"/>
  <c r="CA181" i="3"/>
  <c r="CE181" i="3"/>
  <c r="CE205" i="3"/>
  <c r="CA205" i="3"/>
  <c r="AC182" i="3"/>
  <c r="BY182" i="3" s="1"/>
  <c r="BM206" i="3"/>
  <c r="BI181" i="3"/>
  <c r="BS206" i="3"/>
  <c r="CE116" i="3"/>
  <c r="CA116" i="3"/>
  <c r="BO181" i="3"/>
  <c r="CF180" i="3"/>
  <c r="CG180" i="3"/>
  <c r="BG117" i="3"/>
  <c r="AC117" i="3"/>
  <c r="BY117" i="3" s="1"/>
  <c r="BU116" i="3"/>
  <c r="BS182" i="3"/>
  <c r="AY117" i="3"/>
  <c r="CG115" i="3"/>
  <c r="CF115" i="3"/>
  <c r="BC116" i="3"/>
  <c r="CB115" i="3"/>
  <c r="CC115" i="3"/>
  <c r="CD115" i="3" s="1"/>
  <c r="A208" i="3"/>
  <c r="Q208" i="12" s="1"/>
  <c r="AU207" i="3"/>
  <c r="AD207" i="3"/>
  <c r="R207" i="3"/>
  <c r="D207" i="3"/>
  <c r="AS207" i="3"/>
  <c r="AB207" i="3"/>
  <c r="O207" i="3"/>
  <c r="C207" i="3"/>
  <c r="AR207" i="3"/>
  <c r="AA207" i="3"/>
  <c r="N207" i="3"/>
  <c r="B207" i="3"/>
  <c r="AK207" i="3"/>
  <c r="V207" i="3"/>
  <c r="J207" i="3"/>
  <c r="T207" i="3"/>
  <c r="L207" i="3"/>
  <c r="AV207" i="3"/>
  <c r="K207" i="3"/>
  <c r="AQ207" i="3"/>
  <c r="F207" i="3"/>
  <c r="AN207" i="3"/>
  <c r="Z207" i="3"/>
  <c r="AE207" i="3"/>
  <c r="BT207" i="3" s="1"/>
  <c r="W207" i="3"/>
  <c r="S207" i="3"/>
  <c r="M207" i="3"/>
  <c r="Q207" i="3"/>
  <c r="U207" i="3"/>
  <c r="Y207" i="3"/>
  <c r="AT207" i="3"/>
  <c r="P207" i="3"/>
  <c r="AX207" i="3"/>
  <c r="X207" i="3"/>
  <c r="AF207" i="3"/>
  <c r="AG207" i="3"/>
  <c r="AL207" i="3"/>
  <c r="AO207" i="3"/>
  <c r="AP207" i="3"/>
  <c r="I207" i="3"/>
  <c r="G207" i="3" s="1"/>
  <c r="E207" i="3"/>
  <c r="H207" i="3"/>
  <c r="P118" i="3"/>
  <c r="Y118" i="3"/>
  <c r="T118" i="3"/>
  <c r="AS118" i="3"/>
  <c r="H118" i="3"/>
  <c r="L118" i="3"/>
  <c r="AF118" i="3"/>
  <c r="A119" i="3"/>
  <c r="Q119" i="12" s="1"/>
  <c r="AR118" i="3"/>
  <c r="B118" i="3"/>
  <c r="AV118" i="3"/>
  <c r="F118" i="3"/>
  <c r="E118" i="3"/>
  <c r="J118" i="3"/>
  <c r="AE118" i="3"/>
  <c r="BT118" i="3" s="1"/>
  <c r="AT118" i="3"/>
  <c r="N118" i="3"/>
  <c r="O118" i="3"/>
  <c r="AO118" i="3"/>
  <c r="AN118" i="3"/>
  <c r="K118" i="3"/>
  <c r="AP118" i="3"/>
  <c r="R118" i="3"/>
  <c r="U118" i="3"/>
  <c r="X118" i="3"/>
  <c r="AQ118" i="3"/>
  <c r="AA118" i="3"/>
  <c r="C118" i="3"/>
  <c r="D118" i="3"/>
  <c r="AG118" i="3"/>
  <c r="A184" i="3"/>
  <c r="Q184" i="12" s="1"/>
  <c r="S118" i="3"/>
  <c r="AX118" i="3"/>
  <c r="AB118" i="3"/>
  <c r="W118" i="3"/>
  <c r="I118" i="3"/>
  <c r="G118" i="3" s="1"/>
  <c r="AK118" i="3"/>
  <c r="V118" i="3"/>
  <c r="AD118" i="3"/>
  <c r="Z118" i="3"/>
  <c r="AL118" i="3"/>
  <c r="AU118" i="3"/>
  <c r="Q118" i="3"/>
  <c r="M118" i="3"/>
  <c r="E183" i="3"/>
  <c r="AD183" i="3"/>
  <c r="J183" i="3"/>
  <c r="X183" i="3"/>
  <c r="AQ183" i="3"/>
  <c r="N183" i="3"/>
  <c r="O183" i="3"/>
  <c r="AO183" i="3"/>
  <c r="Z183" i="3"/>
  <c r="AE183" i="3"/>
  <c r="BT183" i="3" s="1"/>
  <c r="M183" i="3"/>
  <c r="AR183" i="3"/>
  <c r="U183" i="3"/>
  <c r="B183" i="3"/>
  <c r="AT183" i="3"/>
  <c r="S183" i="3"/>
  <c r="I183" i="3"/>
  <c r="G183" i="3" s="1"/>
  <c r="AK183" i="3"/>
  <c r="AA183" i="3"/>
  <c r="R183" i="3"/>
  <c r="AV183" i="3"/>
  <c r="AL183" i="3"/>
  <c r="L183" i="3"/>
  <c r="T183" i="3"/>
  <c r="C183" i="3"/>
  <c r="Y183" i="3"/>
  <c r="AG183" i="3"/>
  <c r="W183" i="3"/>
  <c r="AS183" i="3"/>
  <c r="AP183" i="3"/>
  <c r="AU183" i="3"/>
  <c r="AN183" i="3"/>
  <c r="AF183" i="3"/>
  <c r="V183" i="3"/>
  <c r="H183" i="3"/>
  <c r="K183" i="3"/>
  <c r="AB183" i="3"/>
  <c r="P183" i="3"/>
  <c r="AX183" i="3"/>
  <c r="D183" i="3"/>
  <c r="F183" i="3"/>
  <c r="Q183" i="3"/>
  <c r="AM183" i="3" l="1"/>
  <c r="AM207" i="3"/>
  <c r="AM118" i="3"/>
  <c r="BE181" i="3"/>
  <c r="BF181" i="3" s="1"/>
  <c r="BW181" i="3"/>
  <c r="BX181" i="3" s="1"/>
  <c r="BJ205" i="3"/>
  <c r="BB118" i="3"/>
  <c r="BB207" i="3"/>
  <c r="BB183" i="3"/>
  <c r="BH118" i="3"/>
  <c r="BH207" i="3"/>
  <c r="BH183" i="3"/>
  <c r="BN118" i="3"/>
  <c r="BN207" i="3"/>
  <c r="BN183" i="3"/>
  <c r="BA118" i="3"/>
  <c r="BA207" i="3"/>
  <c r="BA183" i="3"/>
  <c r="AW184" i="3"/>
  <c r="AM184" i="3" s="1"/>
  <c r="AW119" i="3"/>
  <c r="AM119" i="3" s="1"/>
  <c r="AW208" i="3"/>
  <c r="AM208" i="3" s="1"/>
  <c r="BW205" i="3"/>
  <c r="BX205" i="3" s="1"/>
  <c r="BI182" i="3"/>
  <c r="BJ182" i="3" s="1"/>
  <c r="BP116" i="3"/>
  <c r="BI206" i="3"/>
  <c r="BJ206" i="3" s="1"/>
  <c r="BE205" i="3"/>
  <c r="BF205" i="3" s="1"/>
  <c r="AH118" i="3"/>
  <c r="AI118" i="3" s="1"/>
  <c r="AH207" i="3"/>
  <c r="AI207" i="3" s="1"/>
  <c r="AH183" i="3"/>
  <c r="AI183" i="3" s="1"/>
  <c r="BJ116" i="3"/>
  <c r="BC117" i="3"/>
  <c r="BD117" i="3" s="1"/>
  <c r="BC206" i="3"/>
  <c r="BE206" i="3" s="1"/>
  <c r="BF206" i="3" s="1"/>
  <c r="BI117" i="3"/>
  <c r="BK117" i="3" s="1"/>
  <c r="BL117" i="3" s="1"/>
  <c r="BO117" i="3"/>
  <c r="BQ117" i="3" s="1"/>
  <c r="BR117" i="3" s="1"/>
  <c r="BU117" i="3"/>
  <c r="BW117" i="3" s="1"/>
  <c r="BX117" i="3" s="1"/>
  <c r="BO206" i="3"/>
  <c r="BQ206" i="3" s="1"/>
  <c r="BR206" i="3" s="1"/>
  <c r="BS118" i="3"/>
  <c r="CA206" i="3"/>
  <c r="CC206" i="3" s="1"/>
  <c r="CD206" i="3" s="1"/>
  <c r="AY183" i="3"/>
  <c r="BU206" i="3"/>
  <c r="BW206" i="3" s="1"/>
  <c r="BX206" i="3" s="1"/>
  <c r="BM118" i="3"/>
  <c r="AC118" i="3"/>
  <c r="BY118" i="3" s="1"/>
  <c r="CE206" i="3"/>
  <c r="CG206" i="3" s="1"/>
  <c r="BG118" i="3"/>
  <c r="BI118" i="3" s="1"/>
  <c r="BO182" i="3"/>
  <c r="BP182" i="3" s="1"/>
  <c r="BU182" i="3"/>
  <c r="AY207" i="3"/>
  <c r="BD206" i="3"/>
  <c r="CB116" i="3"/>
  <c r="CC116" i="3"/>
  <c r="CD116" i="3" s="1"/>
  <c r="BG183" i="3"/>
  <c r="BE116" i="3"/>
  <c r="BF116" i="3" s="1"/>
  <c r="BD116" i="3"/>
  <c r="CG116" i="3"/>
  <c r="CF116" i="3"/>
  <c r="BM183" i="3"/>
  <c r="AC183" i="3"/>
  <c r="BY183" i="3" s="1"/>
  <c r="BM207" i="3"/>
  <c r="AC207" i="3"/>
  <c r="BY207" i="3" s="1"/>
  <c r="BS207" i="3"/>
  <c r="BU207" i="3" s="1"/>
  <c r="BV116" i="3"/>
  <c r="BW116" i="3"/>
  <c r="BX116" i="3" s="1"/>
  <c r="BC182" i="3"/>
  <c r="AY118" i="3"/>
  <c r="BJ181" i="3"/>
  <c r="BK181" i="3"/>
  <c r="BL181" i="3" s="1"/>
  <c r="CF205" i="3"/>
  <c r="CG205" i="3"/>
  <c r="BP181" i="3"/>
  <c r="BQ181" i="3"/>
  <c r="BR181" i="3" s="1"/>
  <c r="BS183" i="3"/>
  <c r="BG207" i="3"/>
  <c r="CF181" i="3"/>
  <c r="CG181" i="3"/>
  <c r="CC181" i="3"/>
  <c r="CD181" i="3" s="1"/>
  <c r="CB181" i="3"/>
  <c r="CB205" i="3"/>
  <c r="CC205" i="3"/>
  <c r="CD205" i="3" s="1"/>
  <c r="CE117" i="3"/>
  <c r="CA117" i="3"/>
  <c r="CA182" i="3"/>
  <c r="CE182" i="3"/>
  <c r="A209" i="3"/>
  <c r="Q209" i="12" s="1"/>
  <c r="AP208" i="3"/>
  <c r="U208" i="3"/>
  <c r="E208" i="3"/>
  <c r="AL208" i="3"/>
  <c r="S208" i="3"/>
  <c r="C208" i="3"/>
  <c r="Q208" i="3"/>
  <c r="AV208" i="3"/>
  <c r="AA208" i="3"/>
  <c r="J208" i="3"/>
  <c r="AU208" i="3"/>
  <c r="Z208" i="3"/>
  <c r="I208" i="3"/>
  <c r="G208" i="3" s="1"/>
  <c r="F208" i="3"/>
  <c r="AX208" i="3"/>
  <c r="AQ208" i="3"/>
  <c r="AE208" i="3"/>
  <c r="BT208" i="3" s="1"/>
  <c r="Y208" i="3"/>
  <c r="AD208" i="3"/>
  <c r="O208" i="3"/>
  <c r="N208" i="3"/>
  <c r="AO208" i="3"/>
  <c r="V208" i="3"/>
  <c r="B208" i="3"/>
  <c r="AF208" i="3"/>
  <c r="AS208" i="3"/>
  <c r="AG208" i="3"/>
  <c r="M208" i="3"/>
  <c r="R208" i="3"/>
  <c r="X208" i="3"/>
  <c r="AK208" i="3"/>
  <c r="AR208" i="3"/>
  <c r="AN208" i="3"/>
  <c r="H208" i="3"/>
  <c r="T208" i="3"/>
  <c r="L208" i="3"/>
  <c r="AB208" i="3"/>
  <c r="D208" i="3"/>
  <c r="K208" i="3"/>
  <c r="P208" i="3"/>
  <c r="W208" i="3"/>
  <c r="AT208" i="3"/>
  <c r="E119" i="3"/>
  <c r="V119" i="3"/>
  <c r="W119" i="3"/>
  <c r="AV119" i="3"/>
  <c r="X119" i="3"/>
  <c r="K119" i="3"/>
  <c r="AF119" i="3"/>
  <c r="I119" i="3"/>
  <c r="G119" i="3" s="1"/>
  <c r="AK119" i="3"/>
  <c r="F119" i="3"/>
  <c r="C119" i="3"/>
  <c r="AB119" i="3"/>
  <c r="D119" i="3"/>
  <c r="AX119" i="3"/>
  <c r="AT119" i="3"/>
  <c r="O119" i="3"/>
  <c r="AE119" i="3"/>
  <c r="B119" i="3"/>
  <c r="AS119" i="3"/>
  <c r="AR119" i="3"/>
  <c r="J119" i="3"/>
  <c r="AG119" i="3"/>
  <c r="AU119" i="3"/>
  <c r="AN119" i="3"/>
  <c r="H119" i="3"/>
  <c r="S119" i="3"/>
  <c r="T119" i="3"/>
  <c r="M119" i="3"/>
  <c r="P119" i="3"/>
  <c r="L119" i="3"/>
  <c r="A120" i="3"/>
  <c r="Q120" i="12" s="1"/>
  <c r="AP119" i="3"/>
  <c r="R119" i="3"/>
  <c r="AQ119" i="3"/>
  <c r="AD119" i="3"/>
  <c r="AL119" i="3"/>
  <c r="Q119" i="3"/>
  <c r="AO119" i="3"/>
  <c r="Y119" i="3"/>
  <c r="N119" i="3"/>
  <c r="U119" i="3"/>
  <c r="AA119" i="3"/>
  <c r="Z119" i="3"/>
  <c r="AL184" i="3"/>
  <c r="AO184" i="3"/>
  <c r="D184" i="3"/>
  <c r="AQ184" i="3"/>
  <c r="R184" i="3"/>
  <c r="AE184" i="3"/>
  <c r="L184" i="3"/>
  <c r="AB184" i="3"/>
  <c r="W184" i="3"/>
  <c r="AN184" i="3"/>
  <c r="AU184" i="3"/>
  <c r="F184" i="3"/>
  <c r="AR184" i="3"/>
  <c r="T184" i="3"/>
  <c r="C184" i="3"/>
  <c r="AA184" i="3"/>
  <c r="E184" i="3"/>
  <c r="AG184" i="3"/>
  <c r="X184" i="3"/>
  <c r="Z184" i="3"/>
  <c r="AD184" i="3"/>
  <c r="AP184" i="3"/>
  <c r="H184" i="3"/>
  <c r="S184" i="3"/>
  <c r="AV184" i="3"/>
  <c r="U184" i="3"/>
  <c r="K184" i="3"/>
  <c r="M184" i="3"/>
  <c r="I184" i="3"/>
  <c r="G184" i="3" s="1"/>
  <c r="J184" i="3"/>
  <c r="AT184" i="3"/>
  <c r="Y184" i="3"/>
  <c r="P184" i="3"/>
  <c r="V184" i="3"/>
  <c r="N184" i="3"/>
  <c r="Q184" i="3"/>
  <c r="AF184" i="3"/>
  <c r="AX184" i="3"/>
  <c r="AK184" i="3"/>
  <c r="O184" i="3"/>
  <c r="AS184" i="3"/>
  <c r="B184" i="3"/>
  <c r="BT184" i="3" l="1"/>
  <c r="BK206" i="3"/>
  <c r="BL206" i="3" s="1"/>
  <c r="BK182" i="3"/>
  <c r="BL182" i="3" s="1"/>
  <c r="BT119" i="3"/>
  <c r="CF206" i="3"/>
  <c r="BB208" i="3"/>
  <c r="BB119" i="3"/>
  <c r="BB184" i="3"/>
  <c r="BH208" i="3"/>
  <c r="BH119" i="3"/>
  <c r="BH184" i="3"/>
  <c r="BN208" i="3"/>
  <c r="BN119" i="3"/>
  <c r="BN184" i="3"/>
  <c r="BA208" i="3"/>
  <c r="BC208" i="3" s="1"/>
  <c r="BA119" i="3"/>
  <c r="BA184" i="3"/>
  <c r="BZ208" i="3"/>
  <c r="BZ184" i="3"/>
  <c r="BZ119" i="3"/>
  <c r="AW120" i="3"/>
  <c r="BZ120" i="3" s="1"/>
  <c r="AW209" i="3"/>
  <c r="BZ209" i="3" s="1"/>
  <c r="BJ117" i="3"/>
  <c r="BP206" i="3"/>
  <c r="BV206" i="3"/>
  <c r="CB206" i="3"/>
  <c r="BO183" i="3"/>
  <c r="BQ183" i="3" s="1"/>
  <c r="BR183" i="3" s="1"/>
  <c r="BV117" i="3"/>
  <c r="BE117" i="3"/>
  <c r="BF117" i="3" s="1"/>
  <c r="AH119" i="3"/>
  <c r="AI119" i="3" s="1"/>
  <c r="AH184" i="3"/>
  <c r="AI184" i="3" s="1"/>
  <c r="BP117" i="3"/>
  <c r="AH208" i="3"/>
  <c r="AI208" i="3" s="1"/>
  <c r="BC183" i="3"/>
  <c r="BE183" i="3" s="1"/>
  <c r="BF183" i="3" s="1"/>
  <c r="BG119" i="3"/>
  <c r="BI119" i="3" s="1"/>
  <c r="CA183" i="3"/>
  <c r="BU118" i="3"/>
  <c r="BW118" i="3" s="1"/>
  <c r="BX118" i="3" s="1"/>
  <c r="BI207" i="3"/>
  <c r="BQ182" i="3"/>
  <c r="BR182" i="3" s="1"/>
  <c r="BU183" i="3"/>
  <c r="BW183" i="3" s="1"/>
  <c r="BX183" i="3" s="1"/>
  <c r="BG184" i="3"/>
  <c r="BC207" i="3"/>
  <c r="BE207" i="3" s="1"/>
  <c r="BF207" i="3" s="1"/>
  <c r="BM184" i="3"/>
  <c r="BO207" i="3"/>
  <c r="BQ207" i="3" s="1"/>
  <c r="BR207" i="3" s="1"/>
  <c r="BI183" i="3"/>
  <c r="BK183" i="3" s="1"/>
  <c r="BL183" i="3" s="1"/>
  <c r="BC118" i="3"/>
  <c r="BD118" i="3" s="1"/>
  <c r="AC184" i="3"/>
  <c r="BY184" i="3" s="1"/>
  <c r="BO118" i="3"/>
  <c r="BP118" i="3" s="1"/>
  <c r="AC119" i="3"/>
  <c r="BY119" i="3" s="1"/>
  <c r="BK118" i="3"/>
  <c r="BL118" i="3" s="1"/>
  <c r="BJ118" i="3"/>
  <c r="CC117" i="3"/>
  <c r="CD117" i="3" s="1"/>
  <c r="CB117" i="3"/>
  <c r="CC182" i="3"/>
  <c r="CD182" i="3" s="1"/>
  <c r="CB182" i="3"/>
  <c r="BG208" i="3"/>
  <c r="BE182" i="3"/>
  <c r="BF182" i="3" s="1"/>
  <c r="BD182" i="3"/>
  <c r="BM119" i="3"/>
  <c r="AY184" i="3"/>
  <c r="BS208" i="3"/>
  <c r="BM208" i="3"/>
  <c r="CE118" i="3"/>
  <c r="CA118" i="3"/>
  <c r="BS184" i="3"/>
  <c r="BS119" i="3"/>
  <c r="AC208" i="3"/>
  <c r="BY208" i="3" s="1"/>
  <c r="CG182" i="3"/>
  <c r="CF182" i="3"/>
  <c r="AY119" i="3"/>
  <c r="AY208" i="3"/>
  <c r="CA207" i="3"/>
  <c r="CE207" i="3"/>
  <c r="CG117" i="3"/>
  <c r="CF117" i="3"/>
  <c r="BW207" i="3"/>
  <c r="BX207" i="3" s="1"/>
  <c r="BV207" i="3"/>
  <c r="BW182" i="3"/>
  <c r="BX182" i="3" s="1"/>
  <c r="BV182" i="3"/>
  <c r="BD207" i="3"/>
  <c r="BK207" i="3"/>
  <c r="BL207" i="3" s="1"/>
  <c r="BJ207" i="3"/>
  <c r="CE183" i="3"/>
  <c r="AV209" i="3"/>
  <c r="AK209" i="3"/>
  <c r="X209" i="3"/>
  <c r="N209" i="3"/>
  <c r="D209" i="3"/>
  <c r="AU209" i="3"/>
  <c r="W209" i="3"/>
  <c r="L209" i="3"/>
  <c r="C209" i="3"/>
  <c r="AS209" i="3"/>
  <c r="AF209" i="3"/>
  <c r="V209" i="3"/>
  <c r="K209" i="3"/>
  <c r="B209" i="3"/>
  <c r="AO209" i="3"/>
  <c r="AB209" i="3"/>
  <c r="R209" i="3"/>
  <c r="AN209" i="3"/>
  <c r="AA209" i="3"/>
  <c r="P209" i="3"/>
  <c r="F209" i="3"/>
  <c r="Z209" i="3"/>
  <c r="O209" i="3"/>
  <c r="E209" i="3"/>
  <c r="J209" i="3"/>
  <c r="H209" i="3"/>
  <c r="AR209" i="3"/>
  <c r="AQ209" i="3"/>
  <c r="AD209" i="3"/>
  <c r="AE209" i="3"/>
  <c r="BN209" i="3" s="1"/>
  <c r="S209" i="3"/>
  <c r="T209" i="3"/>
  <c r="Q209" i="3"/>
  <c r="Y209" i="3"/>
  <c r="AP209" i="3"/>
  <c r="M209" i="3"/>
  <c r="AG209" i="3"/>
  <c r="AX209" i="3"/>
  <c r="AT209" i="3"/>
  <c r="U209" i="3"/>
  <c r="AL209" i="3"/>
  <c r="I209" i="3"/>
  <c r="G209" i="3" s="1"/>
  <c r="A121" i="3"/>
  <c r="Q121" i="12" s="1"/>
  <c r="Y120" i="3"/>
  <c r="AG120" i="3"/>
  <c r="U120" i="3"/>
  <c r="R120" i="3"/>
  <c r="I120" i="3"/>
  <c r="G120" i="3" s="1"/>
  <c r="AQ120" i="3"/>
  <c r="W120" i="3"/>
  <c r="AR120" i="3"/>
  <c r="O120" i="3"/>
  <c r="AN120" i="3"/>
  <c r="C120" i="3"/>
  <c r="AL120" i="3"/>
  <c r="V120" i="3"/>
  <c r="AT120" i="3"/>
  <c r="Q120" i="3"/>
  <c r="AB120" i="3"/>
  <c r="H120" i="3"/>
  <c r="J120" i="3"/>
  <c r="L120" i="3"/>
  <c r="D120" i="3"/>
  <c r="AO120" i="3"/>
  <c r="AX120" i="3"/>
  <c r="X120" i="3"/>
  <c r="AK120" i="3"/>
  <c r="F120" i="3"/>
  <c r="S120" i="3"/>
  <c r="T120" i="3"/>
  <c r="AS120" i="3"/>
  <c r="Z120" i="3"/>
  <c r="AE120" i="3"/>
  <c r="BN120" i="3" s="1"/>
  <c r="AF120" i="3"/>
  <c r="AD120" i="3"/>
  <c r="AV120" i="3"/>
  <c r="AA120" i="3"/>
  <c r="N120" i="3"/>
  <c r="M120" i="3"/>
  <c r="AP120" i="3"/>
  <c r="B120" i="3"/>
  <c r="P120" i="3"/>
  <c r="E120" i="3"/>
  <c r="AU120" i="3"/>
  <c r="K120" i="3"/>
  <c r="AM209" i="3" l="1"/>
  <c r="BE118" i="3"/>
  <c r="BF118" i="3" s="1"/>
  <c r="AM120" i="3"/>
  <c r="BP183" i="3"/>
  <c r="BA209" i="3"/>
  <c r="BA120" i="3"/>
  <c r="BT209" i="3"/>
  <c r="BT120" i="3"/>
  <c r="BB209" i="3"/>
  <c r="BB120" i="3"/>
  <c r="BH209" i="3"/>
  <c r="BH120" i="3"/>
  <c r="AW121" i="3"/>
  <c r="AM121" i="3" s="1"/>
  <c r="BJ183" i="3"/>
  <c r="BP207" i="3"/>
  <c r="BV118" i="3"/>
  <c r="BC119" i="3"/>
  <c r="BD119" i="3" s="1"/>
  <c r="BV183" i="3"/>
  <c r="BD183" i="3"/>
  <c r="AH120" i="3"/>
  <c r="AI120" i="3" s="1"/>
  <c r="BC184" i="3"/>
  <c r="BE184" i="3" s="1"/>
  <c r="BF184" i="3" s="1"/>
  <c r="BQ118" i="3"/>
  <c r="BR118" i="3" s="1"/>
  <c r="BO184" i="3"/>
  <c r="BQ184" i="3" s="1"/>
  <c r="BR184" i="3" s="1"/>
  <c r="BI184" i="3"/>
  <c r="BJ184" i="3" s="1"/>
  <c r="AY120" i="3"/>
  <c r="BU208" i="3"/>
  <c r="BW208" i="3" s="1"/>
  <c r="BX208" i="3" s="1"/>
  <c r="BU119" i="3"/>
  <c r="BV119" i="3" s="1"/>
  <c r="BG120" i="3"/>
  <c r="BI120" i="3" s="1"/>
  <c r="BE208" i="3"/>
  <c r="BF208" i="3" s="1"/>
  <c r="BD208" i="3"/>
  <c r="CC207" i="3"/>
  <c r="CD207" i="3" s="1"/>
  <c r="CB207" i="3"/>
  <c r="CE208" i="3"/>
  <c r="CA208" i="3"/>
  <c r="AC209" i="3"/>
  <c r="BY209" i="3" s="1"/>
  <c r="BM209" i="3"/>
  <c r="BG209" i="3"/>
  <c r="CF207" i="3"/>
  <c r="CG207" i="3"/>
  <c r="CC183" i="3"/>
  <c r="CD183" i="3" s="1"/>
  <c r="CB183" i="3"/>
  <c r="BO208" i="3"/>
  <c r="BI208" i="3"/>
  <c r="BM120" i="3"/>
  <c r="CG183" i="3"/>
  <c r="CF183" i="3"/>
  <c r="CE119" i="3"/>
  <c r="CA119" i="3"/>
  <c r="CC118" i="3"/>
  <c r="CD118" i="3" s="1"/>
  <c r="CB118" i="3"/>
  <c r="CE184" i="3"/>
  <c r="CA184" i="3"/>
  <c r="BS209" i="3"/>
  <c r="BU184" i="3"/>
  <c r="CG118" i="3"/>
  <c r="CF118" i="3"/>
  <c r="BO119" i="3"/>
  <c r="BS120" i="3"/>
  <c r="AC120" i="3"/>
  <c r="BY120" i="3" s="1"/>
  <c r="AY209" i="3"/>
  <c r="BJ119" i="3"/>
  <c r="BK119" i="3"/>
  <c r="BL119" i="3" s="1"/>
  <c r="Q121" i="3"/>
  <c r="A122" i="3"/>
  <c r="Q122" i="12" s="1"/>
  <c r="R121" i="3"/>
  <c r="U121" i="3"/>
  <c r="H121" i="3"/>
  <c r="M121" i="3"/>
  <c r="Z121" i="3"/>
  <c r="AD121" i="3"/>
  <c r="X121" i="3"/>
  <c r="AA121" i="3"/>
  <c r="AF121" i="3"/>
  <c r="O121" i="3"/>
  <c r="W121" i="3"/>
  <c r="AX121" i="3"/>
  <c r="S121" i="3"/>
  <c r="AQ121" i="3"/>
  <c r="AS121" i="3"/>
  <c r="I121" i="3"/>
  <c r="G121" i="3" s="1"/>
  <c r="AO121" i="3"/>
  <c r="K121" i="3"/>
  <c r="Y121" i="3"/>
  <c r="V121" i="3"/>
  <c r="P121" i="3"/>
  <c r="AP121" i="3"/>
  <c r="D121" i="3"/>
  <c r="L121" i="3"/>
  <c r="AG121" i="3"/>
  <c r="F121" i="3"/>
  <c r="AK121" i="3"/>
  <c r="E121" i="3"/>
  <c r="C121" i="3"/>
  <c r="AN121" i="3"/>
  <c r="N121" i="3"/>
  <c r="AL121" i="3"/>
  <c r="AR121" i="3"/>
  <c r="B121" i="3"/>
  <c r="AB121" i="3"/>
  <c r="AT121" i="3"/>
  <c r="AV121" i="3"/>
  <c r="J121" i="3"/>
  <c r="AE121" i="3"/>
  <c r="BH121" i="3" s="1"/>
  <c r="AU121" i="3"/>
  <c r="T121" i="3"/>
  <c r="BC120" i="3" l="1"/>
  <c r="BE119" i="3"/>
  <c r="BF119" i="3" s="1"/>
  <c r="BZ121" i="3"/>
  <c r="BA121" i="3"/>
  <c r="BT121" i="3"/>
  <c r="BN121" i="3"/>
  <c r="BB121" i="3"/>
  <c r="BC121" i="3" s="1"/>
  <c r="AW122" i="3"/>
  <c r="BZ122" i="3" s="1"/>
  <c r="BU120" i="3"/>
  <c r="BV120" i="3" s="1"/>
  <c r="BP184" i="3"/>
  <c r="BK184" i="3"/>
  <c r="BL184" i="3" s="1"/>
  <c r="BD184" i="3"/>
  <c r="AH121" i="3"/>
  <c r="AI121" i="3" s="1"/>
  <c r="BC209" i="3"/>
  <c r="BD209" i="3" s="1"/>
  <c r="CE120" i="3"/>
  <c r="CG120" i="3" s="1"/>
  <c r="BO120" i="3"/>
  <c r="BP120" i="3" s="1"/>
  <c r="BW119" i="3"/>
  <c r="BX119" i="3" s="1"/>
  <c r="BV208" i="3"/>
  <c r="BI209" i="3"/>
  <c r="AC121" i="3"/>
  <c r="BY121" i="3" s="1"/>
  <c r="BK120" i="3"/>
  <c r="BL120" i="3" s="1"/>
  <c r="BJ120" i="3"/>
  <c r="BD120" i="3"/>
  <c r="BE120" i="3"/>
  <c r="BF120" i="3" s="1"/>
  <c r="BW120" i="3"/>
  <c r="BX120" i="3" s="1"/>
  <c r="BM121" i="3"/>
  <c r="BS121" i="3"/>
  <c r="CE209" i="3"/>
  <c r="CA209" i="3"/>
  <c r="BO209" i="3"/>
  <c r="CB119" i="3"/>
  <c r="CC119" i="3"/>
  <c r="CD119" i="3" s="1"/>
  <c r="BJ208" i="3"/>
  <c r="BK208" i="3"/>
  <c r="BL208" i="3" s="1"/>
  <c r="BQ119" i="3"/>
  <c r="BR119" i="3" s="1"/>
  <c r="BP119" i="3"/>
  <c r="BV184" i="3"/>
  <c r="BW184" i="3"/>
  <c r="BX184" i="3" s="1"/>
  <c r="BG121" i="3"/>
  <c r="BU209" i="3"/>
  <c r="CF119" i="3"/>
  <c r="CG119" i="3"/>
  <c r="BQ208" i="3"/>
  <c r="BR208" i="3" s="1"/>
  <c r="BP208" i="3"/>
  <c r="AY121" i="3"/>
  <c r="CA120" i="3"/>
  <c r="CB184" i="3"/>
  <c r="CC184" i="3"/>
  <c r="CD184" i="3" s="1"/>
  <c r="CB208" i="3"/>
  <c r="CC208" i="3"/>
  <c r="CD208" i="3" s="1"/>
  <c r="CF184" i="3"/>
  <c r="CG184" i="3"/>
  <c r="CG208" i="3"/>
  <c r="CF208" i="3"/>
  <c r="AD122" i="3"/>
  <c r="Y122" i="3"/>
  <c r="Z122" i="3"/>
  <c r="I122" i="3"/>
  <c r="G122" i="3" s="1"/>
  <c r="L122" i="3"/>
  <c r="AL122" i="3"/>
  <c r="AB122" i="3"/>
  <c r="K122" i="3"/>
  <c r="F122" i="3"/>
  <c r="C122" i="3"/>
  <c r="U122" i="3"/>
  <c r="AE122" i="3"/>
  <c r="AV122" i="3"/>
  <c r="R122" i="3"/>
  <c r="X122" i="3"/>
  <c r="J122" i="3"/>
  <c r="AS122" i="3"/>
  <c r="AA122" i="3"/>
  <c r="T122" i="3"/>
  <c r="V122" i="3"/>
  <c r="O122" i="3"/>
  <c r="P122" i="3"/>
  <c r="AP122" i="3"/>
  <c r="AQ122" i="3"/>
  <c r="AU122" i="3"/>
  <c r="B122" i="3"/>
  <c r="D122" i="3"/>
  <c r="AX122" i="3"/>
  <c r="S122" i="3"/>
  <c r="AR122" i="3"/>
  <c r="AK122" i="3"/>
  <c r="AO122" i="3"/>
  <c r="E122" i="3"/>
  <c r="AG122" i="3"/>
  <c r="AT122" i="3"/>
  <c r="Q122" i="3"/>
  <c r="W122" i="3"/>
  <c r="AN122" i="3"/>
  <c r="AF122" i="3"/>
  <c r="H122" i="3"/>
  <c r="M122" i="3"/>
  <c r="N122" i="3"/>
  <c r="A123" i="3"/>
  <c r="Q123" i="12" s="1"/>
  <c r="BB122" i="3" l="1"/>
  <c r="BT122" i="3"/>
  <c r="AM122" i="3"/>
  <c r="BQ120" i="3"/>
  <c r="BR120" i="3" s="1"/>
  <c r="BN122" i="3"/>
  <c r="BH122" i="3"/>
  <c r="BA122" i="3"/>
  <c r="BC122" i="3" s="1"/>
  <c r="AW123" i="3"/>
  <c r="AM123" i="3" s="1"/>
  <c r="BM122" i="3"/>
  <c r="CF120" i="3"/>
  <c r="AH122" i="3"/>
  <c r="AI122" i="3" s="1"/>
  <c r="BO121" i="3"/>
  <c r="BP121" i="3" s="1"/>
  <c r="BJ209" i="3"/>
  <c r="BS122" i="3"/>
  <c r="BP209" i="3"/>
  <c r="AC122" i="3"/>
  <c r="BY122" i="3" s="1"/>
  <c r="BG122" i="3"/>
  <c r="CB209" i="3"/>
  <c r="AY122" i="3"/>
  <c r="CF209" i="3"/>
  <c r="BV209" i="3"/>
  <c r="BU121" i="3"/>
  <c r="BD121" i="3"/>
  <c r="BE121" i="3"/>
  <c r="BF121" i="3" s="1"/>
  <c r="CC120" i="3"/>
  <c r="CD120" i="3" s="1"/>
  <c r="CB120" i="3"/>
  <c r="BI121" i="3"/>
  <c r="CA121" i="3"/>
  <c r="CE121" i="3"/>
  <c r="AQ123" i="3"/>
  <c r="AP123" i="3"/>
  <c r="AL123" i="3"/>
  <c r="K123" i="3"/>
  <c r="AD123" i="3"/>
  <c r="AK123" i="3"/>
  <c r="B123" i="3"/>
  <c r="L123" i="3"/>
  <c r="AN123" i="3"/>
  <c r="S123" i="3"/>
  <c r="F123" i="3"/>
  <c r="AB123" i="3"/>
  <c r="AO123" i="3"/>
  <c r="AX123" i="3"/>
  <c r="P123" i="3"/>
  <c r="A124" i="3"/>
  <c r="Q124" i="12" s="1"/>
  <c r="AR123" i="3"/>
  <c r="J123" i="3"/>
  <c r="AV123" i="3"/>
  <c r="AT123" i="3"/>
  <c r="M123" i="3"/>
  <c r="AE123" i="3"/>
  <c r="W123" i="3"/>
  <c r="T123" i="3"/>
  <c r="N123" i="3"/>
  <c r="V123" i="3"/>
  <c r="Q123" i="3"/>
  <c r="AS123" i="3"/>
  <c r="O123" i="3"/>
  <c r="AU123" i="3"/>
  <c r="E123" i="3"/>
  <c r="Z123" i="3"/>
  <c r="AF123" i="3"/>
  <c r="D123" i="3"/>
  <c r="U123" i="3"/>
  <c r="AA123" i="3"/>
  <c r="I123" i="3"/>
  <c r="G123" i="3" s="1"/>
  <c r="X123" i="3"/>
  <c r="R123" i="3"/>
  <c r="C123" i="3"/>
  <c r="Y123" i="3"/>
  <c r="H123" i="3"/>
  <c r="AG123" i="3"/>
  <c r="BO122" i="3" l="1"/>
  <c r="BB123" i="3"/>
  <c r="BU122" i="3"/>
  <c r="BW122" i="3" s="1"/>
  <c r="BX122" i="3" s="1"/>
  <c r="BT123" i="3"/>
  <c r="BH123" i="3"/>
  <c r="BN123" i="3"/>
  <c r="BA123" i="3"/>
  <c r="BZ123" i="3"/>
  <c r="AW124" i="3"/>
  <c r="AM124" i="3" s="1"/>
  <c r="BS123" i="3"/>
  <c r="BQ121" i="3"/>
  <c r="BR121" i="3" s="1"/>
  <c r="AH123" i="3"/>
  <c r="AI123" i="3" s="1"/>
  <c r="BM123" i="3"/>
  <c r="BG123" i="3"/>
  <c r="AC123" i="3"/>
  <c r="BY123" i="3" s="1"/>
  <c r="BE122" i="3"/>
  <c r="BF122" i="3" s="1"/>
  <c r="BD122" i="3"/>
  <c r="BQ122" i="3"/>
  <c r="BR122" i="3" s="1"/>
  <c r="BP122" i="3"/>
  <c r="AY123" i="3"/>
  <c r="CF121" i="3"/>
  <c r="CG121" i="3"/>
  <c r="CA122" i="3"/>
  <c r="CE122" i="3"/>
  <c r="CB121" i="3"/>
  <c r="CC121" i="3"/>
  <c r="CD121" i="3" s="1"/>
  <c r="BW121" i="3"/>
  <c r="BX121" i="3" s="1"/>
  <c r="BV121" i="3"/>
  <c r="BK121" i="3"/>
  <c r="BL121" i="3" s="1"/>
  <c r="BJ121" i="3"/>
  <c r="BI122" i="3"/>
  <c r="Q124" i="3"/>
  <c r="N124" i="3"/>
  <c r="U124" i="3"/>
  <c r="AS124" i="3"/>
  <c r="Z124" i="3"/>
  <c r="AT124" i="3"/>
  <c r="AD124" i="3"/>
  <c r="L124" i="3"/>
  <c r="AO124" i="3"/>
  <c r="R124" i="3"/>
  <c r="F124" i="3"/>
  <c r="AK124" i="3"/>
  <c r="AF124" i="3"/>
  <c r="AG124" i="3"/>
  <c r="W124" i="3"/>
  <c r="X124" i="3"/>
  <c r="AV124" i="3"/>
  <c r="M124" i="3"/>
  <c r="AE124" i="3"/>
  <c r="AC124" i="3" s="1"/>
  <c r="H124" i="3"/>
  <c r="I124" i="3"/>
  <c r="G124" i="3" s="1"/>
  <c r="T124" i="3"/>
  <c r="O124" i="3"/>
  <c r="AN124" i="3"/>
  <c r="B124" i="3"/>
  <c r="V124" i="3"/>
  <c r="AX124" i="3"/>
  <c r="D124" i="3"/>
  <c r="AA124" i="3"/>
  <c r="Y124" i="3"/>
  <c r="AR124" i="3"/>
  <c r="AP124" i="3"/>
  <c r="AL124" i="3"/>
  <c r="S124" i="3"/>
  <c r="AB124" i="3"/>
  <c r="P124" i="3"/>
  <c r="C124" i="3"/>
  <c r="AU124" i="3"/>
  <c r="J124" i="3"/>
  <c r="A125" i="3"/>
  <c r="Q125" i="12" s="1"/>
  <c r="K124" i="3"/>
  <c r="AQ124" i="3"/>
  <c r="E124" i="3"/>
  <c r="BU123" i="3" l="1"/>
  <c r="BV122" i="3"/>
  <c r="BN124" i="3"/>
  <c r="BB124" i="3"/>
  <c r="BH124" i="3"/>
  <c r="BA124" i="3"/>
  <c r="BT124" i="3"/>
  <c r="BZ124" i="3"/>
  <c r="AW125" i="3"/>
  <c r="AM125" i="3" s="1"/>
  <c r="BW123" i="3"/>
  <c r="BX123" i="3" s="1"/>
  <c r="BC123" i="3"/>
  <c r="BD123" i="3" s="1"/>
  <c r="BI123" i="3"/>
  <c r="BJ123" i="3" s="1"/>
  <c r="AH124" i="3"/>
  <c r="AI124" i="3" s="1"/>
  <c r="BV123" i="3"/>
  <c r="BM124" i="3"/>
  <c r="BO123" i="3"/>
  <c r="AY124" i="3"/>
  <c r="CE124" i="3" s="1"/>
  <c r="BY124" i="3"/>
  <c r="BG124" i="3"/>
  <c r="BS124" i="3"/>
  <c r="CA123" i="3"/>
  <c r="CE123" i="3"/>
  <c r="CB122" i="3"/>
  <c r="CC122" i="3"/>
  <c r="CD122" i="3" s="1"/>
  <c r="CF122" i="3"/>
  <c r="CG122" i="3"/>
  <c r="BJ122" i="3"/>
  <c r="BK122" i="3"/>
  <c r="BL122" i="3" s="1"/>
  <c r="AV125" i="3"/>
  <c r="N125" i="3"/>
  <c r="AN125" i="3"/>
  <c r="M125" i="3"/>
  <c r="AG125" i="3"/>
  <c r="AA125" i="3"/>
  <c r="K125" i="3"/>
  <c r="F125" i="3"/>
  <c r="Z125" i="3"/>
  <c r="AP125" i="3"/>
  <c r="V125" i="3"/>
  <c r="AB125" i="3"/>
  <c r="S125" i="3"/>
  <c r="P125" i="3"/>
  <c r="AQ125" i="3"/>
  <c r="Q125" i="3"/>
  <c r="R125" i="3"/>
  <c r="A126" i="3"/>
  <c r="Q126" i="12" s="1"/>
  <c r="L125" i="3"/>
  <c r="B125" i="3"/>
  <c r="C125" i="3"/>
  <c r="W125" i="3"/>
  <c r="J125" i="3"/>
  <c r="D125" i="3"/>
  <c r="T125" i="3"/>
  <c r="AR125" i="3"/>
  <c r="AF125" i="3"/>
  <c r="O125" i="3"/>
  <c r="Y125" i="3"/>
  <c r="E125" i="3"/>
  <c r="AX125" i="3"/>
  <c r="AS125" i="3"/>
  <c r="AO125" i="3"/>
  <c r="AE125" i="3"/>
  <c r="AC125" i="3" s="1"/>
  <c r="AK125" i="3"/>
  <c r="AL125" i="3"/>
  <c r="H125" i="3"/>
  <c r="AU125" i="3"/>
  <c r="U125" i="3"/>
  <c r="I125" i="3"/>
  <c r="G125" i="3" s="1"/>
  <c r="AT125" i="3"/>
  <c r="AD125" i="3"/>
  <c r="X125" i="3"/>
  <c r="BE123" i="3" l="1"/>
  <c r="BF123" i="3" s="1"/>
  <c r="BH125" i="3"/>
  <c r="BN125" i="3"/>
  <c r="BA125" i="3"/>
  <c r="BZ125" i="3"/>
  <c r="BT125" i="3"/>
  <c r="BB125" i="3"/>
  <c r="BC125" i="3" s="1"/>
  <c r="AW126" i="3"/>
  <c r="AM126" i="3" s="1"/>
  <c r="BO124" i="3"/>
  <c r="BQ124" i="3" s="1"/>
  <c r="BR124" i="3" s="1"/>
  <c r="BK123" i="3"/>
  <c r="BL123" i="3" s="1"/>
  <c r="AH125" i="3"/>
  <c r="AI125" i="3" s="1"/>
  <c r="BU124" i="3"/>
  <c r="BW124" i="3" s="1"/>
  <c r="BX124" i="3" s="1"/>
  <c r="BY125" i="3"/>
  <c r="BC124" i="3"/>
  <c r="BD124" i="3" s="1"/>
  <c r="BQ123" i="3"/>
  <c r="BR123" i="3" s="1"/>
  <c r="BP123" i="3"/>
  <c r="BG125" i="3"/>
  <c r="BI124" i="3"/>
  <c r="BJ124" i="3" s="1"/>
  <c r="CA124" i="3"/>
  <c r="BM125" i="3"/>
  <c r="AY125" i="3"/>
  <c r="CB123" i="3"/>
  <c r="CC123" i="3"/>
  <c r="CD123" i="3" s="1"/>
  <c r="CF124" i="3"/>
  <c r="CG124" i="3"/>
  <c r="BS125" i="3"/>
  <c r="CG123" i="3"/>
  <c r="CF123" i="3"/>
  <c r="AV126" i="3"/>
  <c r="P126" i="3"/>
  <c r="B126" i="3"/>
  <c r="Q126" i="3"/>
  <c r="AB126" i="3"/>
  <c r="K126" i="3"/>
  <c r="AG126" i="3"/>
  <c r="W126" i="3"/>
  <c r="AX126" i="3"/>
  <c r="D126" i="3"/>
  <c r="H126" i="3"/>
  <c r="O126" i="3"/>
  <c r="AF126" i="3"/>
  <c r="I126" i="3"/>
  <c r="G126" i="3" s="1"/>
  <c r="AS126" i="3"/>
  <c r="A127" i="3"/>
  <c r="Q127" i="12" s="1"/>
  <c r="Y126" i="3"/>
  <c r="AP126" i="3"/>
  <c r="Z126" i="3"/>
  <c r="J126" i="3"/>
  <c r="T126" i="3"/>
  <c r="V126" i="3"/>
  <c r="AT126" i="3"/>
  <c r="AU126" i="3"/>
  <c r="AE126" i="3"/>
  <c r="AC126" i="3" s="1"/>
  <c r="AN126" i="3"/>
  <c r="U126" i="3"/>
  <c r="X126" i="3"/>
  <c r="AD126" i="3"/>
  <c r="S126" i="3"/>
  <c r="AO126" i="3"/>
  <c r="N126" i="3"/>
  <c r="AR126" i="3"/>
  <c r="M126" i="3"/>
  <c r="F126" i="3"/>
  <c r="C126" i="3"/>
  <c r="AQ126" i="3"/>
  <c r="E126" i="3"/>
  <c r="AK126" i="3"/>
  <c r="AL126" i="3"/>
  <c r="R126" i="3"/>
  <c r="L126" i="3"/>
  <c r="AA126" i="3"/>
  <c r="BP124" i="3" l="1"/>
  <c r="BN126" i="3"/>
  <c r="BA126" i="3"/>
  <c r="BZ126" i="3"/>
  <c r="BT126" i="3"/>
  <c r="BB126" i="3"/>
  <c r="BH126" i="3"/>
  <c r="AW127" i="3"/>
  <c r="BZ127" i="3" s="1"/>
  <c r="BE124" i="3"/>
  <c r="BF124" i="3" s="1"/>
  <c r="BV124" i="3"/>
  <c r="BI125" i="3"/>
  <c r="BJ125" i="3" s="1"/>
  <c r="AH126" i="3"/>
  <c r="AI126" i="3" s="1"/>
  <c r="BO125" i="3"/>
  <c r="BQ125" i="3" s="1"/>
  <c r="BR125" i="3" s="1"/>
  <c r="BY126" i="3"/>
  <c r="CB124" i="3"/>
  <c r="CC124" i="3"/>
  <c r="CD124" i="3" s="1"/>
  <c r="BK124" i="3"/>
  <c r="BL124" i="3" s="1"/>
  <c r="AY126" i="3"/>
  <c r="BU125" i="3"/>
  <c r="BV125" i="3" s="1"/>
  <c r="BD125" i="3"/>
  <c r="BE125" i="3"/>
  <c r="BF125" i="3" s="1"/>
  <c r="CA125" i="3"/>
  <c r="CE125" i="3"/>
  <c r="BG126" i="3"/>
  <c r="BS126" i="3"/>
  <c r="BM126" i="3"/>
  <c r="F127" i="3"/>
  <c r="AD127" i="3"/>
  <c r="AU127" i="3"/>
  <c r="O127" i="3"/>
  <c r="AO127" i="3"/>
  <c r="X127" i="3"/>
  <c r="AX127" i="3"/>
  <c r="AK127" i="3"/>
  <c r="L127" i="3"/>
  <c r="T127" i="3"/>
  <c r="I127" i="3"/>
  <c r="G127" i="3" s="1"/>
  <c r="Q127" i="3"/>
  <c r="Y127" i="3"/>
  <c r="P127" i="3"/>
  <c r="AT127" i="3"/>
  <c r="W127" i="3"/>
  <c r="N127" i="3"/>
  <c r="AV127" i="3"/>
  <c r="S127" i="3"/>
  <c r="AF127" i="3"/>
  <c r="AL127" i="3"/>
  <c r="AB127" i="3"/>
  <c r="U127" i="3"/>
  <c r="M127" i="3"/>
  <c r="Z127" i="3"/>
  <c r="AS127" i="3"/>
  <c r="D127" i="3"/>
  <c r="A128" i="3"/>
  <c r="Q128" i="12" s="1"/>
  <c r="AR127" i="3"/>
  <c r="AN127" i="3"/>
  <c r="E127" i="3"/>
  <c r="AA127" i="3"/>
  <c r="B127" i="3"/>
  <c r="V127" i="3"/>
  <c r="AQ127" i="3"/>
  <c r="AG127" i="3"/>
  <c r="H127" i="3"/>
  <c r="C127" i="3"/>
  <c r="AP127" i="3"/>
  <c r="R127" i="3"/>
  <c r="J127" i="3"/>
  <c r="K127" i="3"/>
  <c r="AE127" i="3"/>
  <c r="BH127" i="3" s="1"/>
  <c r="AM127" i="3" l="1"/>
  <c r="BP125" i="3"/>
  <c r="BN127" i="3"/>
  <c r="BT127" i="3"/>
  <c r="BA127" i="3"/>
  <c r="BB127" i="3"/>
  <c r="AW128" i="3"/>
  <c r="AM128" i="3" s="1"/>
  <c r="BK125" i="3"/>
  <c r="BL125" i="3" s="1"/>
  <c r="BC126" i="3"/>
  <c r="BD126" i="3" s="1"/>
  <c r="CA126" i="3"/>
  <c r="CB126" i="3" s="1"/>
  <c r="AH127" i="3"/>
  <c r="AI127" i="3" s="1"/>
  <c r="BW125" i="3"/>
  <c r="BX125" i="3" s="1"/>
  <c r="BU126" i="3"/>
  <c r="BW126" i="3" s="1"/>
  <c r="BX126" i="3" s="1"/>
  <c r="BM127" i="3"/>
  <c r="BO127" i="3" s="1"/>
  <c r="AC127" i="3"/>
  <c r="BY127" i="3" s="1"/>
  <c r="AY127" i="3"/>
  <c r="BI126" i="3"/>
  <c r="BK126" i="3" s="1"/>
  <c r="BL126" i="3" s="1"/>
  <c r="BG127" i="3"/>
  <c r="CE126" i="3"/>
  <c r="CG126" i="3" s="1"/>
  <c r="BO126" i="3"/>
  <c r="CF125" i="3"/>
  <c r="CG125" i="3"/>
  <c r="BJ126" i="3"/>
  <c r="BS127" i="3"/>
  <c r="CB125" i="3"/>
  <c r="CC125" i="3"/>
  <c r="CD125" i="3" s="1"/>
  <c r="AG128" i="3"/>
  <c r="E128" i="3"/>
  <c r="AP128" i="3"/>
  <c r="AV128" i="3"/>
  <c r="F128" i="3"/>
  <c r="B128" i="3"/>
  <c r="AQ128" i="3"/>
  <c r="T128" i="3"/>
  <c r="I128" i="3"/>
  <c r="G128" i="3" s="1"/>
  <c r="AT128" i="3"/>
  <c r="AN128" i="3"/>
  <c r="AR128" i="3"/>
  <c r="N128" i="3"/>
  <c r="J128" i="3"/>
  <c r="L128" i="3"/>
  <c r="AF128" i="3"/>
  <c r="D128" i="3"/>
  <c r="Y128" i="3"/>
  <c r="AA128" i="3"/>
  <c r="Z128" i="3"/>
  <c r="AL128" i="3"/>
  <c r="AO128" i="3"/>
  <c r="A129" i="3"/>
  <c r="Q129" i="12" s="1"/>
  <c r="P128" i="3"/>
  <c r="W128" i="3"/>
  <c r="M128" i="3"/>
  <c r="AB128" i="3"/>
  <c r="R128" i="3"/>
  <c r="U128" i="3"/>
  <c r="O128" i="3"/>
  <c r="AU128" i="3"/>
  <c r="AS128" i="3"/>
  <c r="S128" i="3"/>
  <c r="AX128" i="3"/>
  <c r="H128" i="3"/>
  <c r="K128" i="3"/>
  <c r="V128" i="3"/>
  <c r="C128" i="3"/>
  <c r="AD128" i="3"/>
  <c r="X128" i="3"/>
  <c r="AK128" i="3"/>
  <c r="Q128" i="3"/>
  <c r="AE128" i="3"/>
  <c r="AC128" i="3" s="1"/>
  <c r="CC126" i="3" l="1"/>
  <c r="CD126" i="3" s="1"/>
  <c r="BB128" i="3"/>
  <c r="BH128" i="3"/>
  <c r="BN128" i="3"/>
  <c r="BA128" i="3"/>
  <c r="BZ128" i="3"/>
  <c r="BT128" i="3"/>
  <c r="AW129" i="3"/>
  <c r="AM129" i="3" s="1"/>
  <c r="BE126" i="3"/>
  <c r="BF126" i="3" s="1"/>
  <c r="BV126" i="3"/>
  <c r="BU127" i="3"/>
  <c r="BV127" i="3" s="1"/>
  <c r="CF126" i="3"/>
  <c r="AH128" i="3"/>
  <c r="AI128" i="3" s="1"/>
  <c r="CE127" i="3"/>
  <c r="CG127" i="3" s="1"/>
  <c r="BG128" i="3"/>
  <c r="CA127" i="3"/>
  <c r="CB127" i="3" s="1"/>
  <c r="BC127" i="3"/>
  <c r="BD127" i="3" s="1"/>
  <c r="BY128" i="3"/>
  <c r="BI127" i="3"/>
  <c r="BS128" i="3"/>
  <c r="BM128" i="3"/>
  <c r="AY128" i="3"/>
  <c r="BQ126" i="3"/>
  <c r="BR126" i="3" s="1"/>
  <c r="BP126" i="3"/>
  <c r="BP127" i="3"/>
  <c r="BQ127" i="3"/>
  <c r="BR127" i="3" s="1"/>
  <c r="AG129" i="3"/>
  <c r="Y129" i="3"/>
  <c r="I129" i="3"/>
  <c r="G129" i="3" s="1"/>
  <c r="AB129" i="3"/>
  <c r="H129" i="3"/>
  <c r="AX129" i="3"/>
  <c r="AR129" i="3"/>
  <c r="AE129" i="3"/>
  <c r="AC129" i="3" s="1"/>
  <c r="AD129" i="3"/>
  <c r="W129" i="3"/>
  <c r="T129" i="3"/>
  <c r="C129" i="3"/>
  <c r="J129" i="3"/>
  <c r="AA129" i="3"/>
  <c r="K129" i="3"/>
  <c r="AL129" i="3"/>
  <c r="AO129" i="3"/>
  <c r="R129" i="3"/>
  <c r="V129" i="3"/>
  <c r="O129" i="3"/>
  <c r="AQ129" i="3"/>
  <c r="Q129" i="3"/>
  <c r="AF129" i="3"/>
  <c r="B129" i="3"/>
  <c r="AN129" i="3"/>
  <c r="AS129" i="3"/>
  <c r="E129" i="3"/>
  <c r="AP129" i="3"/>
  <c r="P129" i="3"/>
  <c r="Z129" i="3"/>
  <c r="U129" i="3"/>
  <c r="A130" i="3"/>
  <c r="Q130" i="12" s="1"/>
  <c r="D129" i="3"/>
  <c r="L129" i="3"/>
  <c r="AK129" i="3"/>
  <c r="M129" i="3"/>
  <c r="X129" i="3"/>
  <c r="AU129" i="3"/>
  <c r="N129" i="3"/>
  <c r="AV129" i="3"/>
  <c r="S129" i="3"/>
  <c r="F129" i="3"/>
  <c r="AT129" i="3"/>
  <c r="BA129" i="3" l="1"/>
  <c r="BN129" i="3"/>
  <c r="BZ129" i="3"/>
  <c r="BT129" i="3"/>
  <c r="BB129" i="3"/>
  <c r="BH129" i="3"/>
  <c r="AW130" i="3"/>
  <c r="BZ130" i="3" s="1"/>
  <c r="BW127" i="3"/>
  <c r="BX127" i="3" s="1"/>
  <c r="CC127" i="3"/>
  <c r="CD127" i="3" s="1"/>
  <c r="BE127" i="3"/>
  <c r="BF127" i="3" s="1"/>
  <c r="CF127" i="3"/>
  <c r="BM129" i="3"/>
  <c r="BO129" i="3" s="1"/>
  <c r="AH129" i="3"/>
  <c r="AI129" i="3" s="1"/>
  <c r="BG129" i="3"/>
  <c r="BI128" i="3"/>
  <c r="BJ128" i="3" s="1"/>
  <c r="BU128" i="3"/>
  <c r="BV128" i="3" s="1"/>
  <c r="BJ127" i="3"/>
  <c r="BK127" i="3"/>
  <c r="BL127" i="3" s="1"/>
  <c r="BO128" i="3"/>
  <c r="BP128" i="3" s="1"/>
  <c r="BY129" i="3"/>
  <c r="BS129" i="3"/>
  <c r="BC128" i="3"/>
  <c r="BE128" i="3" s="1"/>
  <c r="BF128" i="3" s="1"/>
  <c r="CE128" i="3"/>
  <c r="CA128" i="3"/>
  <c r="AY129" i="3"/>
  <c r="R130" i="3"/>
  <c r="V130" i="3"/>
  <c r="F130" i="3"/>
  <c r="P130" i="3"/>
  <c r="AB130" i="3"/>
  <c r="AT130" i="3"/>
  <c r="AG130" i="3"/>
  <c r="S130" i="3"/>
  <c r="T130" i="3"/>
  <c r="AF130" i="3"/>
  <c r="M130" i="3"/>
  <c r="O130" i="3"/>
  <c r="K130" i="3"/>
  <c r="AS130" i="3"/>
  <c r="AA130" i="3"/>
  <c r="AL130" i="3"/>
  <c r="AN130" i="3"/>
  <c r="B130" i="3"/>
  <c r="AR130" i="3"/>
  <c r="AP130" i="3"/>
  <c r="X130" i="3"/>
  <c r="AD130" i="3"/>
  <c r="U130" i="3"/>
  <c r="AO130" i="3"/>
  <c r="AQ130" i="3"/>
  <c r="AE130" i="3"/>
  <c r="BM130" i="3" s="1"/>
  <c r="Z130" i="3"/>
  <c r="N130" i="3"/>
  <c r="A131" i="3"/>
  <c r="Q131" i="12" s="1"/>
  <c r="H130" i="3"/>
  <c r="C130" i="3"/>
  <c r="AK130" i="3"/>
  <c r="Q130" i="3"/>
  <c r="L130" i="3"/>
  <c r="I130" i="3"/>
  <c r="G130" i="3" s="1"/>
  <c r="J130" i="3"/>
  <c r="Y130" i="3"/>
  <c r="W130" i="3"/>
  <c r="E130" i="3"/>
  <c r="D130" i="3"/>
  <c r="AV130" i="3"/>
  <c r="AU130" i="3"/>
  <c r="AX130" i="3"/>
  <c r="AM130" i="3" l="1"/>
  <c r="BK128" i="3"/>
  <c r="BL128" i="3" s="1"/>
  <c r="BB130" i="3"/>
  <c r="BH130" i="3"/>
  <c r="BA130" i="3"/>
  <c r="BT130" i="3"/>
  <c r="BN130" i="3"/>
  <c r="BO130" i="3" s="1"/>
  <c r="AW131" i="3"/>
  <c r="BZ131" i="3" s="1"/>
  <c r="BI129" i="3"/>
  <c r="BK129" i="3" s="1"/>
  <c r="BL129" i="3" s="1"/>
  <c r="BW128" i="3"/>
  <c r="BX128" i="3" s="1"/>
  <c r="BU129" i="3"/>
  <c r="BV129" i="3" s="1"/>
  <c r="AH130" i="3"/>
  <c r="AI130" i="3" s="1"/>
  <c r="BC129" i="3"/>
  <c r="BE129" i="3" s="1"/>
  <c r="BF129" i="3" s="1"/>
  <c r="BQ128" i="3"/>
  <c r="BR128" i="3" s="1"/>
  <c r="BS130" i="3"/>
  <c r="BD128" i="3"/>
  <c r="AC130" i="3"/>
  <c r="BY130" i="3" s="1"/>
  <c r="BQ129" i="3"/>
  <c r="BR129" i="3" s="1"/>
  <c r="BP129" i="3"/>
  <c r="AY130" i="3"/>
  <c r="BG130" i="3"/>
  <c r="CA129" i="3"/>
  <c r="CE129" i="3"/>
  <c r="CC128" i="3"/>
  <c r="CD128" i="3" s="1"/>
  <c r="CB128" i="3"/>
  <c r="CG128" i="3"/>
  <c r="CF128" i="3"/>
  <c r="T131" i="3"/>
  <c r="AN131" i="3"/>
  <c r="I131" i="3"/>
  <c r="G131" i="3" s="1"/>
  <c r="H131" i="3"/>
  <c r="E131" i="3"/>
  <c r="V131" i="3"/>
  <c r="AU131" i="3"/>
  <c r="J131" i="3"/>
  <c r="X131" i="3"/>
  <c r="S131" i="3"/>
  <c r="Q131" i="3"/>
  <c r="AV131" i="3"/>
  <c r="P131" i="3"/>
  <c r="AL131" i="3"/>
  <c r="AQ131" i="3"/>
  <c r="AR131" i="3"/>
  <c r="K131" i="3"/>
  <c r="Y131" i="3"/>
  <c r="A132" i="3"/>
  <c r="Q132" i="12" s="1"/>
  <c r="F131" i="3"/>
  <c r="AX131" i="3"/>
  <c r="L131" i="3"/>
  <c r="AB131" i="3"/>
  <c r="U131" i="3"/>
  <c r="AA131" i="3"/>
  <c r="Z131" i="3"/>
  <c r="AT131" i="3"/>
  <c r="D131" i="3"/>
  <c r="AD131" i="3"/>
  <c r="AG131" i="3"/>
  <c r="O131" i="3"/>
  <c r="W131" i="3"/>
  <c r="AO131" i="3"/>
  <c r="AS131" i="3"/>
  <c r="AE131" i="3"/>
  <c r="AC131" i="3" s="1"/>
  <c r="AK131" i="3"/>
  <c r="N131" i="3"/>
  <c r="M131" i="3"/>
  <c r="AF131" i="3"/>
  <c r="B131" i="3"/>
  <c r="R131" i="3"/>
  <c r="AP131" i="3"/>
  <c r="C131" i="3"/>
  <c r="AM131" i="3" l="1"/>
  <c r="BN131" i="3"/>
  <c r="BB131" i="3"/>
  <c r="BA131" i="3"/>
  <c r="BJ129" i="3"/>
  <c r="BH131" i="3"/>
  <c r="BT131" i="3"/>
  <c r="AW132" i="3"/>
  <c r="BZ132" i="3" s="1"/>
  <c r="BW129" i="3"/>
  <c r="BX129" i="3" s="1"/>
  <c r="BD129" i="3"/>
  <c r="BU130" i="3"/>
  <c r="BV130" i="3" s="1"/>
  <c r="AH131" i="3"/>
  <c r="AI131" i="3" s="1"/>
  <c r="BI130" i="3"/>
  <c r="BK130" i="3" s="1"/>
  <c r="BL130" i="3" s="1"/>
  <c r="BM131" i="3"/>
  <c r="BO131" i="3" s="1"/>
  <c r="BY131" i="3"/>
  <c r="BS131" i="3"/>
  <c r="BQ130" i="3"/>
  <c r="BR130" i="3" s="1"/>
  <c r="BP130" i="3"/>
  <c r="BW130" i="3"/>
  <c r="BX130" i="3" s="1"/>
  <c r="CA130" i="3"/>
  <c r="CE130" i="3"/>
  <c r="AY131" i="3"/>
  <c r="CF129" i="3"/>
  <c r="CG129" i="3"/>
  <c r="CC129" i="3"/>
  <c r="CD129" i="3" s="1"/>
  <c r="CB129" i="3"/>
  <c r="BG131" i="3"/>
  <c r="BC130" i="3"/>
  <c r="T132" i="3"/>
  <c r="AS132" i="3"/>
  <c r="X132" i="3"/>
  <c r="AR132" i="3"/>
  <c r="AD132" i="3"/>
  <c r="AB132" i="3"/>
  <c r="K132" i="3"/>
  <c r="P132" i="3"/>
  <c r="AF132" i="3"/>
  <c r="AN132" i="3"/>
  <c r="AA132" i="3"/>
  <c r="AE132" i="3"/>
  <c r="AC132" i="3" s="1"/>
  <c r="AG132" i="3"/>
  <c r="W132" i="3"/>
  <c r="M132" i="3"/>
  <c r="A133" i="3"/>
  <c r="Q133" i="12" s="1"/>
  <c r="AT132" i="3"/>
  <c r="AO132" i="3"/>
  <c r="E132" i="3"/>
  <c r="I132" i="3"/>
  <c r="G132" i="3" s="1"/>
  <c r="L132" i="3"/>
  <c r="AL132" i="3"/>
  <c r="D132" i="3"/>
  <c r="R132" i="3"/>
  <c r="Z132" i="3"/>
  <c r="U132" i="3"/>
  <c r="F132" i="3"/>
  <c r="Q132" i="3"/>
  <c r="AQ132" i="3"/>
  <c r="H132" i="3"/>
  <c r="Y132" i="3"/>
  <c r="N132" i="3"/>
  <c r="AK132" i="3"/>
  <c r="B132" i="3"/>
  <c r="AU132" i="3"/>
  <c r="C132" i="3"/>
  <c r="O132" i="3"/>
  <c r="S132" i="3"/>
  <c r="AX132" i="3"/>
  <c r="J132" i="3"/>
  <c r="V132" i="3"/>
  <c r="AV132" i="3"/>
  <c r="AP132" i="3"/>
  <c r="AM132" i="3" l="1"/>
  <c r="BN132" i="3"/>
  <c r="BA132" i="3"/>
  <c r="BT132" i="3"/>
  <c r="BB132" i="3"/>
  <c r="BH132" i="3"/>
  <c r="AW133" i="3"/>
  <c r="AM133" i="3" s="1"/>
  <c r="BJ130" i="3"/>
  <c r="BC131" i="3"/>
  <c r="BQ131" i="3"/>
  <c r="BR131" i="3" s="1"/>
  <c r="BP131" i="3"/>
  <c r="BS132" i="3"/>
  <c r="AH132" i="3"/>
  <c r="AI132" i="3" s="1"/>
  <c r="BU131" i="3"/>
  <c r="BV131" i="3" s="1"/>
  <c r="BY132" i="3"/>
  <c r="BG132" i="3"/>
  <c r="BE130" i="3"/>
  <c r="BF130" i="3" s="1"/>
  <c r="BD130" i="3"/>
  <c r="CE131" i="3"/>
  <c r="CA131" i="3"/>
  <c r="BM132" i="3"/>
  <c r="BE131" i="3"/>
  <c r="BF131" i="3" s="1"/>
  <c r="BD131" i="3"/>
  <c r="BI131" i="3"/>
  <c r="CG130" i="3"/>
  <c r="CF130" i="3"/>
  <c r="AY132" i="3"/>
  <c r="CC130" i="3"/>
  <c r="CD130" i="3" s="1"/>
  <c r="CB130" i="3"/>
  <c r="O133" i="3"/>
  <c r="Y133" i="3"/>
  <c r="C133" i="3"/>
  <c r="L133" i="3"/>
  <c r="F133" i="3"/>
  <c r="S133" i="3"/>
  <c r="AU133" i="3"/>
  <c r="I133" i="3"/>
  <c r="G133" i="3" s="1"/>
  <c r="AN133" i="3"/>
  <c r="R133" i="3"/>
  <c r="P133" i="3"/>
  <c r="AP133" i="3"/>
  <c r="E133" i="3"/>
  <c r="AX133" i="3"/>
  <c r="AE133" i="3"/>
  <c r="A134" i="3"/>
  <c r="Q134" i="12" s="1"/>
  <c r="K133" i="3"/>
  <c r="AT133" i="3"/>
  <c r="AD133" i="3"/>
  <c r="AR133" i="3"/>
  <c r="AK133" i="3"/>
  <c r="H133" i="3"/>
  <c r="AF133" i="3"/>
  <c r="AO133" i="3"/>
  <c r="AG133" i="3"/>
  <c r="Z133" i="3"/>
  <c r="T133" i="3"/>
  <c r="X133" i="3"/>
  <c r="J133" i="3"/>
  <c r="D133" i="3"/>
  <c r="AQ133" i="3"/>
  <c r="AS133" i="3"/>
  <c r="W133" i="3"/>
  <c r="AL133" i="3"/>
  <c r="U133" i="3"/>
  <c r="AV133" i="3"/>
  <c r="M133" i="3"/>
  <c r="N133" i="3"/>
  <c r="Q133" i="3"/>
  <c r="AA133" i="3"/>
  <c r="AB133" i="3"/>
  <c r="B133" i="3"/>
  <c r="V133" i="3"/>
  <c r="BZ133" i="3" l="1"/>
  <c r="BB133" i="3"/>
  <c r="BH133" i="3"/>
  <c r="BN133" i="3"/>
  <c r="BA133" i="3"/>
  <c r="BT133" i="3"/>
  <c r="AW134" i="3"/>
  <c r="BZ134" i="3" s="1"/>
  <c r="BU132" i="3"/>
  <c r="BV132" i="3" s="1"/>
  <c r="BW131" i="3"/>
  <c r="BX131" i="3" s="1"/>
  <c r="AH133" i="3"/>
  <c r="AI133" i="3" s="1"/>
  <c r="BO132" i="3"/>
  <c r="BQ132" i="3" s="1"/>
  <c r="BR132" i="3" s="1"/>
  <c r="BM133" i="3"/>
  <c r="BS133" i="3"/>
  <c r="AC133" i="3"/>
  <c r="BY133" i="3" s="1"/>
  <c r="BP132" i="3"/>
  <c r="BI132" i="3"/>
  <c r="BG133" i="3"/>
  <c r="AY133" i="3"/>
  <c r="CA132" i="3"/>
  <c r="CE132" i="3"/>
  <c r="CC131" i="3"/>
  <c r="CD131" i="3" s="1"/>
  <c r="CB131" i="3"/>
  <c r="BC132" i="3"/>
  <c r="CG131" i="3"/>
  <c r="CF131" i="3"/>
  <c r="BK131" i="3"/>
  <c r="BL131" i="3" s="1"/>
  <c r="BJ131" i="3"/>
  <c r="Z134" i="3"/>
  <c r="AK134" i="3"/>
  <c r="F134" i="3"/>
  <c r="P134" i="3"/>
  <c r="AD134" i="3"/>
  <c r="L134" i="3"/>
  <c r="I134" i="3"/>
  <c r="G134" i="3" s="1"/>
  <c r="AT134" i="3"/>
  <c r="E134" i="3"/>
  <c r="C134" i="3"/>
  <c r="AX134" i="3"/>
  <c r="AQ134" i="3"/>
  <c r="AV134" i="3"/>
  <c r="V134" i="3"/>
  <c r="Q134" i="3"/>
  <c r="B134" i="3"/>
  <c r="R134" i="3"/>
  <c r="AB134" i="3"/>
  <c r="H134" i="3"/>
  <c r="AL134" i="3"/>
  <c r="AR134" i="3"/>
  <c r="AE134" i="3"/>
  <c r="BS134" i="3" s="1"/>
  <c r="AF134" i="3"/>
  <c r="O134" i="3"/>
  <c r="A135" i="3"/>
  <c r="Q135" i="12" s="1"/>
  <c r="AO134" i="3"/>
  <c r="J134" i="3"/>
  <c r="AA134" i="3"/>
  <c r="K134" i="3"/>
  <c r="M134" i="3"/>
  <c r="X134" i="3"/>
  <c r="AU134" i="3"/>
  <c r="T134" i="3"/>
  <c r="AN134" i="3"/>
  <c r="AG134" i="3"/>
  <c r="U134" i="3"/>
  <c r="Y134" i="3"/>
  <c r="D134" i="3"/>
  <c r="AS134" i="3"/>
  <c r="AP134" i="3"/>
  <c r="N134" i="3"/>
  <c r="S134" i="3"/>
  <c r="W134" i="3"/>
  <c r="AM134" i="3" l="1"/>
  <c r="BT134" i="3"/>
  <c r="BU134" i="3" s="1"/>
  <c r="BW132" i="3"/>
  <c r="BX132" i="3" s="1"/>
  <c r="BB134" i="3"/>
  <c r="BH134" i="3"/>
  <c r="BN134" i="3"/>
  <c r="BA134" i="3"/>
  <c r="AW135" i="3"/>
  <c r="BZ135" i="3" s="1"/>
  <c r="BU133" i="3"/>
  <c r="BV133" i="3" s="1"/>
  <c r="BO133" i="3"/>
  <c r="BQ133" i="3" s="1"/>
  <c r="BR133" i="3" s="1"/>
  <c r="AH134" i="3"/>
  <c r="AI134" i="3" s="1"/>
  <c r="BI133" i="3"/>
  <c r="BJ133" i="3" s="1"/>
  <c r="BC133" i="3"/>
  <c r="BD133" i="3" s="1"/>
  <c r="BM134" i="3"/>
  <c r="CF132" i="3"/>
  <c r="CG132" i="3"/>
  <c r="CC132" i="3"/>
  <c r="CD132" i="3" s="1"/>
  <c r="CB132" i="3"/>
  <c r="CA133" i="3"/>
  <c r="CE133" i="3"/>
  <c r="BK133" i="3"/>
  <c r="BL133" i="3" s="1"/>
  <c r="AC134" i="3"/>
  <c r="BY134" i="3" s="1"/>
  <c r="AY134" i="3"/>
  <c r="BG134" i="3"/>
  <c r="BD132" i="3"/>
  <c r="BE132" i="3"/>
  <c r="BF132" i="3" s="1"/>
  <c r="BK132" i="3"/>
  <c r="BL132" i="3" s="1"/>
  <c r="BJ132" i="3"/>
  <c r="BW133" i="3"/>
  <c r="BX133" i="3" s="1"/>
  <c r="L135" i="3"/>
  <c r="J135" i="3"/>
  <c r="AQ135" i="3"/>
  <c r="Q135" i="3"/>
  <c r="AU135" i="3"/>
  <c r="AT135" i="3"/>
  <c r="B135" i="3"/>
  <c r="F135" i="3"/>
  <c r="W135" i="3"/>
  <c r="AE135" i="3"/>
  <c r="BT135" i="3" s="1"/>
  <c r="C135" i="3"/>
  <c r="Z135" i="3"/>
  <c r="T135" i="3"/>
  <c r="P135" i="3"/>
  <c r="AL135" i="3"/>
  <c r="AR135" i="3"/>
  <c r="U135" i="3"/>
  <c r="Y135" i="3"/>
  <c r="AF135" i="3"/>
  <c r="S135" i="3"/>
  <c r="AA135" i="3"/>
  <c r="E135" i="3"/>
  <c r="X135" i="3"/>
  <c r="AP135" i="3"/>
  <c r="AK135" i="3"/>
  <c r="AX135" i="3"/>
  <c r="AG135" i="3"/>
  <c r="AO135" i="3"/>
  <c r="AD135" i="3"/>
  <c r="I135" i="3"/>
  <c r="G135" i="3" s="1"/>
  <c r="N135" i="3"/>
  <c r="R135" i="3"/>
  <c r="O135" i="3"/>
  <c r="D135" i="3"/>
  <c r="AB135" i="3"/>
  <c r="A136" i="3"/>
  <c r="Q136" i="12" s="1"/>
  <c r="AV135" i="3"/>
  <c r="V135" i="3"/>
  <c r="M135" i="3"/>
  <c r="H135" i="3"/>
  <c r="K135" i="3"/>
  <c r="AS135" i="3"/>
  <c r="AN135" i="3"/>
  <c r="AM135" i="3" l="1"/>
  <c r="BN135" i="3"/>
  <c r="BB135" i="3"/>
  <c r="BH135" i="3"/>
  <c r="BA135" i="3"/>
  <c r="BP133" i="3"/>
  <c r="AW136" i="3"/>
  <c r="AM136" i="3" s="1"/>
  <c r="BI134" i="3"/>
  <c r="BJ134" i="3" s="1"/>
  <c r="BE133" i="3"/>
  <c r="BF133" i="3" s="1"/>
  <c r="AH135" i="3"/>
  <c r="AI135" i="3" s="1"/>
  <c r="BO134" i="3"/>
  <c r="BP134" i="3" s="1"/>
  <c r="BS135" i="3"/>
  <c r="BU135" i="3" s="1"/>
  <c r="BM135" i="3"/>
  <c r="BC134" i="3"/>
  <c r="BD134" i="3" s="1"/>
  <c r="AC135" i="3"/>
  <c r="BY135" i="3" s="1"/>
  <c r="BW134" i="3"/>
  <c r="BX134" i="3" s="1"/>
  <c r="BV134" i="3"/>
  <c r="BG135" i="3"/>
  <c r="CF133" i="3"/>
  <c r="CG133" i="3"/>
  <c r="CA134" i="3"/>
  <c r="CE134" i="3"/>
  <c r="CC133" i="3"/>
  <c r="CD133" i="3" s="1"/>
  <c r="CB133" i="3"/>
  <c r="AY135" i="3"/>
  <c r="W136" i="3"/>
  <c r="AB136" i="3"/>
  <c r="AV136" i="3"/>
  <c r="AS136" i="3"/>
  <c r="AL136" i="3"/>
  <c r="H136" i="3"/>
  <c r="Y136" i="3"/>
  <c r="Z136" i="3"/>
  <c r="K136" i="3"/>
  <c r="AN136" i="3"/>
  <c r="AG136" i="3"/>
  <c r="AK136" i="3"/>
  <c r="AO136" i="3"/>
  <c r="E136" i="3"/>
  <c r="L136" i="3"/>
  <c r="AE136" i="3"/>
  <c r="AX136" i="3"/>
  <c r="R136" i="3"/>
  <c r="AU136" i="3"/>
  <c r="U136" i="3"/>
  <c r="D136" i="3"/>
  <c r="AF136" i="3"/>
  <c r="J136" i="3"/>
  <c r="A137" i="3"/>
  <c r="Q137" i="12" s="1"/>
  <c r="AP136" i="3"/>
  <c r="AT136" i="3"/>
  <c r="AR136" i="3"/>
  <c r="C136" i="3"/>
  <c r="F136" i="3"/>
  <c r="O136" i="3"/>
  <c r="V136" i="3"/>
  <c r="AA136" i="3"/>
  <c r="P136" i="3"/>
  <c r="M136" i="3"/>
  <c r="I136" i="3"/>
  <c r="G136" i="3" s="1"/>
  <c r="X136" i="3"/>
  <c r="S136" i="3"/>
  <c r="T136" i="3"/>
  <c r="N136" i="3"/>
  <c r="AD136" i="3"/>
  <c r="AQ136" i="3"/>
  <c r="Q136" i="3"/>
  <c r="B136" i="3"/>
  <c r="BT136" i="3" l="1"/>
  <c r="BK134" i="3"/>
  <c r="BL134" i="3" s="1"/>
  <c r="BB136" i="3"/>
  <c r="BQ134" i="3"/>
  <c r="BR134" i="3" s="1"/>
  <c r="BH136" i="3"/>
  <c r="BN136" i="3"/>
  <c r="BA136" i="3"/>
  <c r="BZ136" i="3"/>
  <c r="AW137" i="3"/>
  <c r="AM137" i="3" s="1"/>
  <c r="BE134" i="3"/>
  <c r="BF134" i="3" s="1"/>
  <c r="BO135" i="3"/>
  <c r="BQ135" i="3" s="1"/>
  <c r="BR135" i="3" s="1"/>
  <c r="AH136" i="3"/>
  <c r="AI136" i="3" s="1"/>
  <c r="BM136" i="3"/>
  <c r="AC136" i="3"/>
  <c r="BY136" i="3" s="1"/>
  <c r="CC134" i="3"/>
  <c r="CD134" i="3" s="1"/>
  <c r="CB134" i="3"/>
  <c r="BV135" i="3"/>
  <c r="BW135" i="3"/>
  <c r="BX135" i="3" s="1"/>
  <c r="AY136" i="3"/>
  <c r="BI135" i="3"/>
  <c r="BC135" i="3"/>
  <c r="BG136" i="3"/>
  <c r="BS136" i="3"/>
  <c r="BU136" i="3" s="1"/>
  <c r="CA135" i="3"/>
  <c r="CE135" i="3"/>
  <c r="CG134" i="3"/>
  <c r="CF134" i="3"/>
  <c r="V137" i="3"/>
  <c r="AP137" i="3"/>
  <c r="L137" i="3"/>
  <c r="AL137" i="3"/>
  <c r="I137" i="3"/>
  <c r="G137" i="3" s="1"/>
  <c r="AV137" i="3"/>
  <c r="Y137" i="3"/>
  <c r="N137" i="3"/>
  <c r="U137" i="3"/>
  <c r="AG137" i="3"/>
  <c r="AF137" i="3"/>
  <c r="M137" i="3"/>
  <c r="AD137" i="3"/>
  <c r="AA137" i="3"/>
  <c r="A138" i="3"/>
  <c r="Q138" i="12" s="1"/>
  <c r="B137" i="3"/>
  <c r="E137" i="3"/>
  <c r="AB137" i="3"/>
  <c r="P137" i="3"/>
  <c r="F137" i="3"/>
  <c r="Q137" i="3"/>
  <c r="AO137" i="3"/>
  <c r="Z137" i="3"/>
  <c r="J137" i="3"/>
  <c r="D137" i="3"/>
  <c r="S137" i="3"/>
  <c r="AN137" i="3"/>
  <c r="AE137" i="3"/>
  <c r="BB137" i="3" s="1"/>
  <c r="AU137" i="3"/>
  <c r="X137" i="3"/>
  <c r="R137" i="3"/>
  <c r="AK137" i="3"/>
  <c r="W137" i="3"/>
  <c r="AX137" i="3"/>
  <c r="K137" i="3"/>
  <c r="O137" i="3"/>
  <c r="AR137" i="3"/>
  <c r="H137" i="3"/>
  <c r="AT137" i="3"/>
  <c r="C137" i="3"/>
  <c r="AQ137" i="3"/>
  <c r="AS137" i="3"/>
  <c r="T137" i="3"/>
  <c r="BP135" i="3" l="1"/>
  <c r="BH137" i="3"/>
  <c r="BN137" i="3"/>
  <c r="BA137" i="3"/>
  <c r="BZ137" i="3"/>
  <c r="BT137" i="3"/>
  <c r="AW138" i="3"/>
  <c r="AM138" i="3" s="1"/>
  <c r="BI136" i="3"/>
  <c r="BK136" i="3" s="1"/>
  <c r="BL136" i="3" s="1"/>
  <c r="BC136" i="3"/>
  <c r="BD136" i="3" s="1"/>
  <c r="AH137" i="3"/>
  <c r="AI137" i="3" s="1"/>
  <c r="BO136" i="3"/>
  <c r="BP136" i="3" s="1"/>
  <c r="BM137" i="3"/>
  <c r="BO137" i="3" s="1"/>
  <c r="BE135" i="3"/>
  <c r="BF135" i="3" s="1"/>
  <c r="BD135" i="3"/>
  <c r="BJ135" i="3"/>
  <c r="BK135" i="3"/>
  <c r="BL135" i="3" s="1"/>
  <c r="BG137" i="3"/>
  <c r="CG135" i="3"/>
  <c r="CF135" i="3"/>
  <c r="CE136" i="3"/>
  <c r="CA136" i="3"/>
  <c r="CB135" i="3"/>
  <c r="CC135" i="3"/>
  <c r="CD135" i="3" s="1"/>
  <c r="AY137" i="3"/>
  <c r="AC137" i="3"/>
  <c r="BY137" i="3" s="1"/>
  <c r="BS137" i="3"/>
  <c r="BU137" i="3" s="1"/>
  <c r="BV136" i="3"/>
  <c r="BW136" i="3"/>
  <c r="BX136" i="3" s="1"/>
  <c r="K138" i="3"/>
  <c r="N138" i="3"/>
  <c r="W138" i="3"/>
  <c r="E138" i="3"/>
  <c r="X138" i="3"/>
  <c r="I138" i="3"/>
  <c r="G138" i="3" s="1"/>
  <c r="M138" i="3"/>
  <c r="AT138" i="3"/>
  <c r="J138" i="3"/>
  <c r="AB138" i="3"/>
  <c r="Q138" i="3"/>
  <c r="AF138" i="3"/>
  <c r="AP138" i="3"/>
  <c r="Z138" i="3"/>
  <c r="T138" i="3"/>
  <c r="Y138" i="3"/>
  <c r="U138" i="3"/>
  <c r="V138" i="3"/>
  <c r="AO138" i="3"/>
  <c r="AN138" i="3"/>
  <c r="AR138" i="3"/>
  <c r="AG138" i="3"/>
  <c r="D138" i="3"/>
  <c r="P138" i="3"/>
  <c r="AS138" i="3"/>
  <c r="S138" i="3"/>
  <c r="AA138" i="3"/>
  <c r="B138" i="3"/>
  <c r="AK138" i="3"/>
  <c r="F138" i="3"/>
  <c r="R138" i="3"/>
  <c r="AL138" i="3"/>
  <c r="AX138" i="3"/>
  <c r="AV138" i="3"/>
  <c r="C138" i="3"/>
  <c r="L138" i="3"/>
  <c r="O138" i="3"/>
  <c r="AQ138" i="3"/>
  <c r="AU138" i="3"/>
  <c r="H138" i="3"/>
  <c r="AD138" i="3"/>
  <c r="A139" i="3"/>
  <c r="Q139" i="12" s="1"/>
  <c r="AE138" i="3"/>
  <c r="AC138" i="3" s="1"/>
  <c r="BE136" i="3" l="1"/>
  <c r="BF136" i="3" s="1"/>
  <c r="BB138" i="3"/>
  <c r="BH138" i="3"/>
  <c r="BA138" i="3"/>
  <c r="BJ136" i="3"/>
  <c r="BZ138" i="3"/>
  <c r="BT138" i="3"/>
  <c r="BN138" i="3"/>
  <c r="AW139" i="3"/>
  <c r="AM139" i="3" s="1"/>
  <c r="BY138" i="3"/>
  <c r="BQ136" i="3"/>
  <c r="BR136" i="3" s="1"/>
  <c r="BG138" i="3"/>
  <c r="AH138" i="3"/>
  <c r="AI138" i="3" s="1"/>
  <c r="BP137" i="3"/>
  <c r="BQ137" i="3"/>
  <c r="BR137" i="3" s="1"/>
  <c r="AY138" i="3"/>
  <c r="CC136" i="3"/>
  <c r="CD136" i="3" s="1"/>
  <c r="CB136" i="3"/>
  <c r="BC137" i="3"/>
  <c r="CG136" i="3"/>
  <c r="CF136" i="3"/>
  <c r="BI137" i="3"/>
  <c r="BV137" i="3"/>
  <c r="BW137" i="3"/>
  <c r="BX137" i="3" s="1"/>
  <c r="BS138" i="3"/>
  <c r="BM138" i="3"/>
  <c r="CE137" i="3"/>
  <c r="CA137" i="3"/>
  <c r="AN139" i="3"/>
  <c r="C139" i="3"/>
  <c r="F139" i="3"/>
  <c r="AK139" i="3"/>
  <c r="V139" i="3"/>
  <c r="AS139" i="3"/>
  <c r="AE139" i="3"/>
  <c r="AC139" i="3" s="1"/>
  <c r="A140" i="3"/>
  <c r="Q140" i="12" s="1"/>
  <c r="E139" i="3"/>
  <c r="X139" i="3"/>
  <c r="Y139" i="3"/>
  <c r="AR139" i="3"/>
  <c r="AA139" i="3"/>
  <c r="S139" i="3"/>
  <c r="AV139" i="3"/>
  <c r="K139" i="3"/>
  <c r="AQ139" i="3"/>
  <c r="AF139" i="3"/>
  <c r="R139" i="3"/>
  <c r="J139" i="3"/>
  <c r="O139" i="3"/>
  <c r="AB139" i="3"/>
  <c r="P139" i="3"/>
  <c r="D139" i="3"/>
  <c r="AU139" i="3"/>
  <c r="U139" i="3"/>
  <c r="B139" i="3"/>
  <c r="I139" i="3"/>
  <c r="G139" i="3" s="1"/>
  <c r="AD139" i="3"/>
  <c r="AO139" i="3"/>
  <c r="AT139" i="3"/>
  <c r="Z139" i="3"/>
  <c r="W139" i="3"/>
  <c r="N139" i="3"/>
  <c r="AP139" i="3"/>
  <c r="H139" i="3"/>
  <c r="AG139" i="3"/>
  <c r="T139" i="3"/>
  <c r="Q139" i="3"/>
  <c r="L139" i="3"/>
  <c r="M139" i="3"/>
  <c r="AX139" i="3"/>
  <c r="AL139" i="3"/>
  <c r="BA139" i="3" l="1"/>
  <c r="BZ139" i="3"/>
  <c r="BH139" i="3"/>
  <c r="BT139" i="3"/>
  <c r="BN139" i="3"/>
  <c r="BB139" i="3"/>
  <c r="AW140" i="3"/>
  <c r="AM140" i="3" s="1"/>
  <c r="BI138" i="3"/>
  <c r="BK138" i="3" s="1"/>
  <c r="BL138" i="3" s="1"/>
  <c r="AH139" i="3"/>
  <c r="AI139" i="3" s="1"/>
  <c r="BU138" i="3"/>
  <c r="BV138" i="3" s="1"/>
  <c r="BY139" i="3"/>
  <c r="BM139" i="3"/>
  <c r="BS139" i="3"/>
  <c r="CB137" i="3"/>
  <c r="CC137" i="3"/>
  <c r="CD137" i="3" s="1"/>
  <c r="BO138" i="3"/>
  <c r="CE138" i="3"/>
  <c r="CA138" i="3"/>
  <c r="AY139" i="3"/>
  <c r="CG137" i="3"/>
  <c r="CF137" i="3"/>
  <c r="BG139" i="3"/>
  <c r="BK137" i="3"/>
  <c r="BL137" i="3" s="1"/>
  <c r="BJ137" i="3"/>
  <c r="BE137" i="3"/>
  <c r="BF137" i="3" s="1"/>
  <c r="BD137" i="3"/>
  <c r="BC138" i="3"/>
  <c r="AT140" i="3"/>
  <c r="T140" i="3"/>
  <c r="AN140" i="3"/>
  <c r="AB140" i="3"/>
  <c r="AO140" i="3"/>
  <c r="Q140" i="3"/>
  <c r="I140" i="3"/>
  <c r="G140" i="3" s="1"/>
  <c r="Y140" i="3"/>
  <c r="R140" i="3"/>
  <c r="AF140" i="3"/>
  <c r="B140" i="3"/>
  <c r="H140" i="3"/>
  <c r="AG140" i="3"/>
  <c r="O140" i="3"/>
  <c r="D140" i="3"/>
  <c r="M140" i="3"/>
  <c r="AP140" i="3"/>
  <c r="V140" i="3"/>
  <c r="N140" i="3"/>
  <c r="X140" i="3"/>
  <c r="U140" i="3"/>
  <c r="AQ140" i="3"/>
  <c r="AA140" i="3"/>
  <c r="AK140" i="3"/>
  <c r="C140" i="3"/>
  <c r="S140" i="3"/>
  <c r="J140" i="3"/>
  <c r="AR140" i="3"/>
  <c r="F140" i="3"/>
  <c r="Z140" i="3"/>
  <c r="W140" i="3"/>
  <c r="AV140" i="3"/>
  <c r="A141" i="3"/>
  <c r="Q141" i="12" s="1"/>
  <c r="K140" i="3"/>
  <c r="AD140" i="3"/>
  <c r="AS140" i="3"/>
  <c r="L140" i="3"/>
  <c r="AL140" i="3"/>
  <c r="AU140" i="3"/>
  <c r="E140" i="3"/>
  <c r="P140" i="3"/>
  <c r="AE140" i="3"/>
  <c r="AX140" i="3"/>
  <c r="BT140" i="3" l="1"/>
  <c r="BH140" i="3"/>
  <c r="BN140" i="3"/>
  <c r="BA140" i="3"/>
  <c r="BW138" i="3"/>
  <c r="BX138" i="3" s="1"/>
  <c r="BJ138" i="3"/>
  <c r="BB140" i="3"/>
  <c r="BZ140" i="3"/>
  <c r="AW141" i="3"/>
  <c r="AM141" i="3" s="1"/>
  <c r="BC139" i="3"/>
  <c r="BD139" i="3" s="1"/>
  <c r="AH140" i="3"/>
  <c r="AI140" i="3" s="1"/>
  <c r="BO139" i="3"/>
  <c r="BP139" i="3" s="1"/>
  <c r="BU139" i="3"/>
  <c r="BV139" i="3" s="1"/>
  <c r="AC140" i="3"/>
  <c r="BY140" i="3" s="1"/>
  <c r="BI139" i="3"/>
  <c r="BJ139" i="3" s="1"/>
  <c r="BW139" i="3"/>
  <c r="BX139" i="3" s="1"/>
  <c r="CE139" i="3"/>
  <c r="CA139" i="3"/>
  <c r="BS140" i="3"/>
  <c r="AY140" i="3"/>
  <c r="BD138" i="3"/>
  <c r="BE138" i="3"/>
  <c r="BF138" i="3" s="1"/>
  <c r="CB138" i="3"/>
  <c r="CC138" i="3"/>
  <c r="CD138" i="3" s="1"/>
  <c r="BP138" i="3"/>
  <c r="BQ138" i="3"/>
  <c r="BR138" i="3" s="1"/>
  <c r="BM140" i="3"/>
  <c r="BG140" i="3"/>
  <c r="CF138" i="3"/>
  <c r="CG138" i="3"/>
  <c r="AE141" i="3"/>
  <c r="AC141" i="3" s="1"/>
  <c r="AO141" i="3"/>
  <c r="W141" i="3"/>
  <c r="AQ141" i="3"/>
  <c r="T141" i="3"/>
  <c r="AN141" i="3"/>
  <c r="H141" i="3"/>
  <c r="AP141" i="3"/>
  <c r="AK141" i="3"/>
  <c r="AR141" i="3"/>
  <c r="Y141" i="3"/>
  <c r="C141" i="3"/>
  <c r="E141" i="3"/>
  <c r="N141" i="3"/>
  <c r="AA141" i="3"/>
  <c r="AV141" i="3"/>
  <c r="Z141" i="3"/>
  <c r="R141" i="3"/>
  <c r="V141" i="3"/>
  <c r="S141" i="3"/>
  <c r="AU141" i="3"/>
  <c r="Q141" i="3"/>
  <c r="A142" i="3"/>
  <c r="Q142" i="12" s="1"/>
  <c r="I141" i="3"/>
  <c r="G141" i="3" s="1"/>
  <c r="AX141" i="3"/>
  <c r="AB141" i="3"/>
  <c r="L141" i="3"/>
  <c r="AF141" i="3"/>
  <c r="D141" i="3"/>
  <c r="P141" i="3"/>
  <c r="AG141" i="3"/>
  <c r="J141" i="3"/>
  <c r="O141" i="3"/>
  <c r="B141" i="3"/>
  <c r="AS141" i="3"/>
  <c r="K141" i="3"/>
  <c r="F141" i="3"/>
  <c r="AT141" i="3"/>
  <c r="AL141" i="3"/>
  <c r="U141" i="3"/>
  <c r="AD141" i="3"/>
  <c r="X141" i="3"/>
  <c r="M141" i="3"/>
  <c r="BE139" i="3" l="1"/>
  <c r="BF139" i="3" s="1"/>
  <c r="BQ139" i="3"/>
  <c r="BR139" i="3" s="1"/>
  <c r="BA141" i="3"/>
  <c r="BZ141" i="3"/>
  <c r="BT141" i="3"/>
  <c r="BB141" i="3"/>
  <c r="BC141" i="3" s="1"/>
  <c r="BH141" i="3"/>
  <c r="BN141" i="3"/>
  <c r="AW142" i="3"/>
  <c r="BZ142" i="3" s="1"/>
  <c r="BK139" i="3"/>
  <c r="BL139" i="3" s="1"/>
  <c r="AH141" i="3"/>
  <c r="AI141" i="3" s="1"/>
  <c r="BY141" i="3"/>
  <c r="BI140" i="3"/>
  <c r="BJ140" i="3" s="1"/>
  <c r="BC140" i="3"/>
  <c r="BD140" i="3" s="1"/>
  <c r="BG141" i="3"/>
  <c r="BM141" i="3"/>
  <c r="BS141" i="3"/>
  <c r="BU140" i="3"/>
  <c r="BW140" i="3" s="1"/>
  <c r="BX140" i="3" s="1"/>
  <c r="BO140" i="3"/>
  <c r="BQ140" i="3" s="1"/>
  <c r="BR140" i="3" s="1"/>
  <c r="CE140" i="3"/>
  <c r="CA140" i="3"/>
  <c r="CC139" i="3"/>
  <c r="CD139" i="3" s="1"/>
  <c r="CB139" i="3"/>
  <c r="CF139" i="3"/>
  <c r="CG139" i="3"/>
  <c r="AY141" i="3"/>
  <c r="B142" i="3"/>
  <c r="F142" i="3"/>
  <c r="L142" i="3"/>
  <c r="U142" i="3"/>
  <c r="AB142" i="3"/>
  <c r="A143" i="3"/>
  <c r="Q143" i="12" s="1"/>
  <c r="Q142" i="3"/>
  <c r="E142" i="3"/>
  <c r="AG142" i="3"/>
  <c r="S142" i="3"/>
  <c r="AA142" i="3"/>
  <c r="J142" i="3"/>
  <c r="AS142" i="3"/>
  <c r="M142" i="3"/>
  <c r="I142" i="3"/>
  <c r="G142" i="3" s="1"/>
  <c r="AQ142" i="3"/>
  <c r="AD142" i="3"/>
  <c r="AE142" i="3"/>
  <c r="AC142" i="3" s="1"/>
  <c r="N142" i="3"/>
  <c r="W142" i="3"/>
  <c r="AN142" i="3"/>
  <c r="AK142" i="3"/>
  <c r="AR142" i="3"/>
  <c r="AO142" i="3"/>
  <c r="AP142" i="3"/>
  <c r="Z142" i="3"/>
  <c r="Y142" i="3"/>
  <c r="D142" i="3"/>
  <c r="AU142" i="3"/>
  <c r="K142" i="3"/>
  <c r="X142" i="3"/>
  <c r="AT142" i="3"/>
  <c r="AV142" i="3"/>
  <c r="C142" i="3"/>
  <c r="R142" i="3"/>
  <c r="AX142" i="3"/>
  <c r="AF142" i="3"/>
  <c r="H142" i="3"/>
  <c r="AL142" i="3"/>
  <c r="P142" i="3"/>
  <c r="T142" i="3"/>
  <c r="V142" i="3"/>
  <c r="O142" i="3"/>
  <c r="BN142" i="3" l="1"/>
  <c r="AM142" i="3"/>
  <c r="BK140" i="3"/>
  <c r="BL140" i="3" s="1"/>
  <c r="BO141" i="3"/>
  <c r="BV140" i="3"/>
  <c r="BA142" i="3"/>
  <c r="BE141" i="3"/>
  <c r="BF141" i="3" s="1"/>
  <c r="BT142" i="3"/>
  <c r="BE140" i="3"/>
  <c r="BF140" i="3" s="1"/>
  <c r="BB142" i="3"/>
  <c r="BH142" i="3"/>
  <c r="AW143" i="3"/>
  <c r="BZ143" i="3" s="1"/>
  <c r="BI141" i="3"/>
  <c r="BK141" i="3" s="1"/>
  <c r="BL141" i="3" s="1"/>
  <c r="AH142" i="3"/>
  <c r="AI142" i="3" s="1"/>
  <c r="BU141" i="3"/>
  <c r="BW141" i="3" s="1"/>
  <c r="BX141" i="3" s="1"/>
  <c r="BD141" i="3"/>
  <c r="BY142" i="3"/>
  <c r="BP140" i="3"/>
  <c r="BM142" i="3"/>
  <c r="BG142" i="3"/>
  <c r="BP141" i="3"/>
  <c r="BQ141" i="3"/>
  <c r="BR141" i="3" s="1"/>
  <c r="AY142" i="3"/>
  <c r="CC140" i="3"/>
  <c r="CD140" i="3" s="1"/>
  <c r="CB140" i="3"/>
  <c r="BS142" i="3"/>
  <c r="CG140" i="3"/>
  <c r="CF140" i="3"/>
  <c r="CA141" i="3"/>
  <c r="CE141" i="3"/>
  <c r="AT143" i="3"/>
  <c r="C143" i="3"/>
  <c r="AA143" i="3"/>
  <c r="Z143" i="3"/>
  <c r="J143" i="3"/>
  <c r="I143" i="3"/>
  <c r="G143" i="3" s="1"/>
  <c r="S143" i="3"/>
  <c r="AF143" i="3"/>
  <c r="N143" i="3"/>
  <c r="O143" i="3"/>
  <c r="AO143" i="3"/>
  <c r="K143" i="3"/>
  <c r="H143" i="3"/>
  <c r="D143" i="3"/>
  <c r="AQ143" i="3"/>
  <c r="L143" i="3"/>
  <c r="AP143" i="3"/>
  <c r="AK143" i="3"/>
  <c r="AN143" i="3"/>
  <c r="AD143" i="3"/>
  <c r="AX143" i="3"/>
  <c r="M143" i="3"/>
  <c r="W143" i="3"/>
  <c r="P143" i="3"/>
  <c r="E143" i="3"/>
  <c r="Q143" i="3"/>
  <c r="F143" i="3"/>
  <c r="T143" i="3"/>
  <c r="B143" i="3"/>
  <c r="AL143" i="3"/>
  <c r="AS143" i="3"/>
  <c r="AE143" i="3"/>
  <c r="BN143" i="3" s="1"/>
  <c r="AB143" i="3"/>
  <c r="U143" i="3"/>
  <c r="Y143" i="3"/>
  <c r="AG143" i="3"/>
  <c r="X143" i="3"/>
  <c r="AV143" i="3"/>
  <c r="AR143" i="3"/>
  <c r="AU143" i="3"/>
  <c r="R143" i="3"/>
  <c r="A144" i="3"/>
  <c r="Q144" i="12" s="1"/>
  <c r="V143" i="3"/>
  <c r="BC142" i="3" l="1"/>
  <c r="BE142" i="3" s="1"/>
  <c r="BF142" i="3" s="1"/>
  <c r="AM143" i="3"/>
  <c r="BA143" i="3"/>
  <c r="BT143" i="3"/>
  <c r="BB143" i="3"/>
  <c r="BH143" i="3"/>
  <c r="AW144" i="3"/>
  <c r="BZ144" i="3" s="1"/>
  <c r="BJ141" i="3"/>
  <c r="BV141" i="3"/>
  <c r="AH143" i="3"/>
  <c r="AI143" i="3" s="1"/>
  <c r="BU142" i="3"/>
  <c r="BV142" i="3" s="1"/>
  <c r="BM143" i="3"/>
  <c r="BO142" i="3"/>
  <c r="BQ142" i="3" s="1"/>
  <c r="BR142" i="3" s="1"/>
  <c r="AC143" i="3"/>
  <c r="BY143" i="3" s="1"/>
  <c r="BI142" i="3"/>
  <c r="AY143" i="3"/>
  <c r="BG143" i="3"/>
  <c r="BD142" i="3"/>
  <c r="CF141" i="3"/>
  <c r="CG141" i="3"/>
  <c r="CE142" i="3"/>
  <c r="CA142" i="3"/>
  <c r="BS143" i="3"/>
  <c r="CC141" i="3"/>
  <c r="CD141" i="3" s="1"/>
  <c r="CB141" i="3"/>
  <c r="R144" i="3"/>
  <c r="K144" i="3"/>
  <c r="H144" i="3"/>
  <c r="AG144" i="3"/>
  <c r="D144" i="3"/>
  <c r="AA144" i="3"/>
  <c r="AS144" i="3"/>
  <c r="AB144" i="3"/>
  <c r="AD144" i="3"/>
  <c r="AL144" i="3"/>
  <c r="AE144" i="3"/>
  <c r="AC144" i="3" s="1"/>
  <c r="AK144" i="3"/>
  <c r="T144" i="3"/>
  <c r="AV144" i="3"/>
  <c r="AQ144" i="3"/>
  <c r="AU144" i="3"/>
  <c r="P144" i="3"/>
  <c r="L144" i="3"/>
  <c r="X144" i="3"/>
  <c r="J144" i="3"/>
  <c r="AO144" i="3"/>
  <c r="S144" i="3"/>
  <c r="N144" i="3"/>
  <c r="I144" i="3"/>
  <c r="G144" i="3" s="1"/>
  <c r="A145" i="3"/>
  <c r="Q145" i="12" s="1"/>
  <c r="C144" i="3"/>
  <c r="AF144" i="3"/>
  <c r="AN144" i="3"/>
  <c r="W144" i="3"/>
  <c r="U144" i="3"/>
  <c r="B144" i="3"/>
  <c r="E144" i="3"/>
  <c r="AP144" i="3"/>
  <c r="Q144" i="3"/>
  <c r="Z144" i="3"/>
  <c r="AR144" i="3"/>
  <c r="F144" i="3"/>
  <c r="V144" i="3"/>
  <c r="Y144" i="3"/>
  <c r="O144" i="3"/>
  <c r="M144" i="3"/>
  <c r="AX144" i="3"/>
  <c r="AT144" i="3"/>
  <c r="AM144" i="3" l="1"/>
  <c r="BB144" i="3"/>
  <c r="BH144" i="3"/>
  <c r="BN144" i="3"/>
  <c r="BA144" i="3"/>
  <c r="BT144" i="3"/>
  <c r="AW145" i="3"/>
  <c r="AM145" i="3" s="1"/>
  <c r="BW142" i="3"/>
  <c r="BX142" i="3" s="1"/>
  <c r="BP142" i="3"/>
  <c r="BS144" i="3"/>
  <c r="BU143" i="3"/>
  <c r="AH144" i="3"/>
  <c r="AI144" i="3" s="1"/>
  <c r="BO143" i="3"/>
  <c r="BQ143" i="3" s="1"/>
  <c r="BR143" i="3" s="1"/>
  <c r="BY144" i="3"/>
  <c r="BG144" i="3"/>
  <c r="BI143" i="3"/>
  <c r="BJ143" i="3" s="1"/>
  <c r="BM144" i="3"/>
  <c r="BK142" i="3"/>
  <c r="BL142" i="3" s="1"/>
  <c r="BJ142" i="3"/>
  <c r="CE143" i="3"/>
  <c r="CA143" i="3"/>
  <c r="BW143" i="3"/>
  <c r="BX143" i="3" s="1"/>
  <c r="BV143" i="3"/>
  <c r="AY144" i="3"/>
  <c r="CC142" i="3"/>
  <c r="CD142" i="3" s="1"/>
  <c r="CB142" i="3"/>
  <c r="CG142" i="3"/>
  <c r="CF142" i="3"/>
  <c r="BC143" i="3"/>
  <c r="AS145" i="3"/>
  <c r="P145" i="3"/>
  <c r="I145" i="3"/>
  <c r="G145" i="3" s="1"/>
  <c r="V145" i="3"/>
  <c r="AG145" i="3"/>
  <c r="AR145" i="3"/>
  <c r="AK145" i="3"/>
  <c r="K145" i="3"/>
  <c r="A146" i="3"/>
  <c r="Q146" i="12" s="1"/>
  <c r="AA145" i="3"/>
  <c r="AV145" i="3"/>
  <c r="R145" i="3"/>
  <c r="C145" i="3"/>
  <c r="N145" i="3"/>
  <c r="AD145" i="3"/>
  <c r="F145" i="3"/>
  <c r="L145" i="3"/>
  <c r="AB145" i="3"/>
  <c r="S145" i="3"/>
  <c r="Z145" i="3"/>
  <c r="X145" i="3"/>
  <c r="W145" i="3"/>
  <c r="AQ145" i="3"/>
  <c r="Y145" i="3"/>
  <c r="O145" i="3"/>
  <c r="E145" i="3"/>
  <c r="Q145" i="3"/>
  <c r="AP145" i="3"/>
  <c r="AU145" i="3"/>
  <c r="H145" i="3"/>
  <c r="AX145" i="3"/>
  <c r="D145" i="3"/>
  <c r="M145" i="3"/>
  <c r="AT145" i="3"/>
  <c r="AE145" i="3"/>
  <c r="AC145" i="3" s="1"/>
  <c r="T145" i="3"/>
  <c r="AF145" i="3"/>
  <c r="B145" i="3"/>
  <c r="AN145" i="3"/>
  <c r="AL145" i="3"/>
  <c r="U145" i="3"/>
  <c r="J145" i="3"/>
  <c r="AO145" i="3"/>
  <c r="BC144" i="3" l="1"/>
  <c r="BU144" i="3"/>
  <c r="BV144" i="3" s="1"/>
  <c r="BN145" i="3"/>
  <c r="BH145" i="3"/>
  <c r="BA145" i="3"/>
  <c r="BT145" i="3"/>
  <c r="BZ145" i="3"/>
  <c r="BB145" i="3"/>
  <c r="AW146" i="3"/>
  <c r="BZ146" i="3" s="1"/>
  <c r="BP143" i="3"/>
  <c r="BI144" i="3"/>
  <c r="BK144" i="3" s="1"/>
  <c r="BL144" i="3" s="1"/>
  <c r="AH145" i="3"/>
  <c r="AI145" i="3" s="1"/>
  <c r="BK143" i="3"/>
  <c r="BL143" i="3" s="1"/>
  <c r="BO144" i="3"/>
  <c r="BY145" i="3"/>
  <c r="BG145" i="3"/>
  <c r="CF143" i="3"/>
  <c r="CG143" i="3"/>
  <c r="BS145" i="3"/>
  <c r="BE144" i="3"/>
  <c r="BF144" i="3" s="1"/>
  <c r="BD144" i="3"/>
  <c r="CC143" i="3"/>
  <c r="CD143" i="3" s="1"/>
  <c r="CB143" i="3"/>
  <c r="BM145" i="3"/>
  <c r="BO145" i="3" s="1"/>
  <c r="AY145" i="3"/>
  <c r="CA144" i="3"/>
  <c r="CE144" i="3"/>
  <c r="BD143" i="3"/>
  <c r="BE143" i="3"/>
  <c r="BF143" i="3" s="1"/>
  <c r="U146" i="3"/>
  <c r="AD146" i="3"/>
  <c r="AN146" i="3"/>
  <c r="T146" i="3"/>
  <c r="S146" i="3"/>
  <c r="H146" i="3"/>
  <c r="AO146" i="3"/>
  <c r="AR146" i="3"/>
  <c r="D146" i="3"/>
  <c r="O146" i="3"/>
  <c r="AK146" i="3"/>
  <c r="B146" i="3"/>
  <c r="AU146" i="3"/>
  <c r="AV146" i="3"/>
  <c r="AL146" i="3"/>
  <c r="L146" i="3"/>
  <c r="Q146" i="3"/>
  <c r="AB146" i="3"/>
  <c r="AG146" i="3"/>
  <c r="K146" i="3"/>
  <c r="AS146" i="3"/>
  <c r="P146" i="3"/>
  <c r="R146" i="3"/>
  <c r="AT146" i="3"/>
  <c r="AA146" i="3"/>
  <c r="J146" i="3"/>
  <c r="I146" i="3"/>
  <c r="G146" i="3" s="1"/>
  <c r="X146" i="3"/>
  <c r="E146" i="3"/>
  <c r="Z146" i="3"/>
  <c r="W146" i="3"/>
  <c r="F146" i="3"/>
  <c r="C146" i="3"/>
  <c r="AF146" i="3"/>
  <c r="Y146" i="3"/>
  <c r="A147" i="3"/>
  <c r="Q147" i="12" s="1"/>
  <c r="AQ146" i="3"/>
  <c r="M146" i="3"/>
  <c r="AP146" i="3"/>
  <c r="AE146" i="3"/>
  <c r="AX146" i="3"/>
  <c r="N146" i="3"/>
  <c r="V146" i="3"/>
  <c r="BW144" i="3" l="1"/>
  <c r="BX144" i="3" s="1"/>
  <c r="BB146" i="3"/>
  <c r="AM146" i="3"/>
  <c r="BC145" i="3"/>
  <c r="BH146" i="3"/>
  <c r="BA146" i="3"/>
  <c r="BN146" i="3"/>
  <c r="BT146" i="3"/>
  <c r="AW147" i="3"/>
  <c r="AM147" i="3" s="1"/>
  <c r="BJ144" i="3"/>
  <c r="AH146" i="3"/>
  <c r="AI146" i="3" s="1"/>
  <c r="BI145" i="3"/>
  <c r="BK145" i="3" s="1"/>
  <c r="BL145" i="3" s="1"/>
  <c r="BG146" i="3"/>
  <c r="BP144" i="3"/>
  <c r="BQ144" i="3"/>
  <c r="BR144" i="3" s="1"/>
  <c r="BQ145" i="3"/>
  <c r="BR145" i="3" s="1"/>
  <c r="BP145" i="3"/>
  <c r="BM146" i="3"/>
  <c r="AY146" i="3"/>
  <c r="CA145" i="3"/>
  <c r="CE145" i="3"/>
  <c r="BU145" i="3"/>
  <c r="BE145" i="3"/>
  <c r="BF145" i="3" s="1"/>
  <c r="BD145" i="3"/>
  <c r="AC146" i="3"/>
  <c r="BY146" i="3" s="1"/>
  <c r="BS146" i="3"/>
  <c r="CG144" i="3"/>
  <c r="CF144" i="3"/>
  <c r="CC144" i="3"/>
  <c r="CD144" i="3" s="1"/>
  <c r="CB144" i="3"/>
  <c r="AG147" i="3"/>
  <c r="H147" i="3"/>
  <c r="AQ147" i="3"/>
  <c r="AS147" i="3"/>
  <c r="AV147" i="3"/>
  <c r="AF147" i="3"/>
  <c r="AB147" i="3"/>
  <c r="B147" i="3"/>
  <c r="T147" i="3"/>
  <c r="Y147" i="3"/>
  <c r="P147" i="3"/>
  <c r="E147" i="3"/>
  <c r="AN147" i="3"/>
  <c r="L147" i="3"/>
  <c r="F147" i="3"/>
  <c r="Z147" i="3"/>
  <c r="AP147" i="3"/>
  <c r="R147" i="3"/>
  <c r="S147" i="3"/>
  <c r="C147" i="3"/>
  <c r="K147" i="3"/>
  <c r="X147" i="3"/>
  <c r="W147" i="3"/>
  <c r="N147" i="3"/>
  <c r="AL147" i="3"/>
  <c r="A148" i="3"/>
  <c r="Q148" i="12" s="1"/>
  <c r="O147" i="3"/>
  <c r="AK147" i="3"/>
  <c r="I147" i="3"/>
  <c r="G147" i="3" s="1"/>
  <c r="AX147" i="3"/>
  <c r="AE147" i="3"/>
  <c r="AA147" i="3"/>
  <c r="M147" i="3"/>
  <c r="AD147" i="3"/>
  <c r="AT147" i="3"/>
  <c r="Q147" i="3"/>
  <c r="AU147" i="3"/>
  <c r="AR147" i="3"/>
  <c r="AO147" i="3"/>
  <c r="U147" i="3"/>
  <c r="V147" i="3"/>
  <c r="J147" i="3"/>
  <c r="D147" i="3"/>
  <c r="BH147" i="3" l="1"/>
  <c r="BJ145" i="3"/>
  <c r="BA147" i="3"/>
  <c r="BT147" i="3"/>
  <c r="BN147" i="3"/>
  <c r="BB147" i="3"/>
  <c r="BZ147" i="3"/>
  <c r="AW148" i="3"/>
  <c r="AM148" i="3" s="1"/>
  <c r="BO146" i="3"/>
  <c r="BP146" i="3" s="1"/>
  <c r="AH147" i="3"/>
  <c r="AI147" i="3" s="1"/>
  <c r="BI146" i="3"/>
  <c r="BK146" i="3" s="1"/>
  <c r="BL146" i="3" s="1"/>
  <c r="BC146" i="3"/>
  <c r="BD146" i="3" s="1"/>
  <c r="BM147" i="3"/>
  <c r="BG147" i="3"/>
  <c r="AC147" i="3"/>
  <c r="BY147" i="3" s="1"/>
  <c r="BS147" i="3"/>
  <c r="BU146" i="3"/>
  <c r="BV145" i="3"/>
  <c r="BW145" i="3"/>
  <c r="BX145" i="3" s="1"/>
  <c r="AY147" i="3"/>
  <c r="CG145" i="3"/>
  <c r="CF145" i="3"/>
  <c r="CC145" i="3"/>
  <c r="CD145" i="3" s="1"/>
  <c r="CB145" i="3"/>
  <c r="CA146" i="3"/>
  <c r="CE146" i="3"/>
  <c r="AU148" i="3"/>
  <c r="Z148" i="3"/>
  <c r="Q148" i="3"/>
  <c r="K148" i="3"/>
  <c r="X148" i="3"/>
  <c r="AX148" i="3"/>
  <c r="V148" i="3"/>
  <c r="AK148" i="3"/>
  <c r="AQ148" i="3"/>
  <c r="U148" i="3"/>
  <c r="AS148" i="3"/>
  <c r="E148" i="3"/>
  <c r="C148" i="3"/>
  <c r="R148" i="3"/>
  <c r="L148" i="3"/>
  <c r="AP148" i="3"/>
  <c r="AA148" i="3"/>
  <c r="AT148" i="3"/>
  <c r="P148" i="3"/>
  <c r="AB148" i="3"/>
  <c r="H148" i="3"/>
  <c r="W148" i="3"/>
  <c r="T148" i="3"/>
  <c r="AG148" i="3"/>
  <c r="O148" i="3"/>
  <c r="Y148" i="3"/>
  <c r="AL148" i="3"/>
  <c r="AF148" i="3"/>
  <c r="F148" i="3"/>
  <c r="AE148" i="3"/>
  <c r="AD148" i="3"/>
  <c r="M148" i="3"/>
  <c r="D148" i="3"/>
  <c r="N148" i="3"/>
  <c r="S148" i="3"/>
  <c r="AN148" i="3"/>
  <c r="A149" i="3"/>
  <c r="Q149" i="12" s="1"/>
  <c r="AO148" i="3"/>
  <c r="I148" i="3"/>
  <c r="G148" i="3" s="1"/>
  <c r="B148" i="3"/>
  <c r="AR148" i="3"/>
  <c r="J148" i="3"/>
  <c r="AV148" i="3"/>
  <c r="BE146" i="3" l="1"/>
  <c r="BF146" i="3" s="1"/>
  <c r="BT148" i="3"/>
  <c r="BQ146" i="3"/>
  <c r="BR146" i="3" s="1"/>
  <c r="BZ148" i="3"/>
  <c r="BH148" i="3"/>
  <c r="BN148" i="3"/>
  <c r="BA148" i="3"/>
  <c r="BB148" i="3"/>
  <c r="BJ146" i="3"/>
  <c r="AW149" i="3"/>
  <c r="AM149" i="3" s="1"/>
  <c r="AH148" i="3"/>
  <c r="AI148" i="3" s="1"/>
  <c r="BO147" i="3"/>
  <c r="BP147" i="3" s="1"/>
  <c r="BU147" i="3"/>
  <c r="BW147" i="3" s="1"/>
  <c r="BX147" i="3" s="1"/>
  <c r="BI147" i="3"/>
  <c r="BK147" i="3" s="1"/>
  <c r="BL147" i="3" s="1"/>
  <c r="AY148" i="3"/>
  <c r="AC148" i="3"/>
  <c r="BY148" i="3" s="1"/>
  <c r="BC147" i="3"/>
  <c r="BE147" i="3" s="1"/>
  <c r="BF147" i="3" s="1"/>
  <c r="CC146" i="3"/>
  <c r="CD146" i="3" s="1"/>
  <c r="CB146" i="3"/>
  <c r="CF146" i="3"/>
  <c r="CG146" i="3"/>
  <c r="CE147" i="3"/>
  <c r="CA147" i="3"/>
  <c r="BG148" i="3"/>
  <c r="BS148" i="3"/>
  <c r="BU148" i="3" s="1"/>
  <c r="BM148" i="3"/>
  <c r="BW146" i="3"/>
  <c r="BX146" i="3" s="1"/>
  <c r="BV146" i="3"/>
  <c r="M149" i="3"/>
  <c r="F149" i="3"/>
  <c r="X149" i="3"/>
  <c r="N149" i="3"/>
  <c r="Y149" i="3"/>
  <c r="O149" i="3"/>
  <c r="AB149" i="3"/>
  <c r="AE149" i="3"/>
  <c r="AO149" i="3"/>
  <c r="R149" i="3"/>
  <c r="AV149" i="3"/>
  <c r="AG149" i="3"/>
  <c r="AQ149" i="3"/>
  <c r="A150" i="3"/>
  <c r="Q150" i="12" s="1"/>
  <c r="L149" i="3"/>
  <c r="D149" i="3"/>
  <c r="AR149" i="3"/>
  <c r="AN149" i="3"/>
  <c r="Q149" i="3"/>
  <c r="P149" i="3"/>
  <c r="E149" i="3"/>
  <c r="C149" i="3"/>
  <c r="AP149" i="3"/>
  <c r="AD149" i="3"/>
  <c r="AA149" i="3"/>
  <c r="I149" i="3"/>
  <c r="G149" i="3" s="1"/>
  <c r="J149" i="3"/>
  <c r="T149" i="3"/>
  <c r="AT149" i="3"/>
  <c r="AX149" i="3"/>
  <c r="AK149" i="3"/>
  <c r="AF149" i="3"/>
  <c r="Z149" i="3"/>
  <c r="W149" i="3"/>
  <c r="AL149" i="3"/>
  <c r="S149" i="3"/>
  <c r="AS149" i="3"/>
  <c r="K149" i="3"/>
  <c r="H149" i="3"/>
  <c r="AU149" i="3"/>
  <c r="U149" i="3"/>
  <c r="V149" i="3"/>
  <c r="B149" i="3"/>
  <c r="BH149" i="3" l="1"/>
  <c r="BN149" i="3"/>
  <c r="BQ147" i="3"/>
  <c r="BR147" i="3" s="1"/>
  <c r="BA149" i="3"/>
  <c r="BT149" i="3"/>
  <c r="BZ149" i="3"/>
  <c r="BB149" i="3"/>
  <c r="BC149" i="3" s="1"/>
  <c r="AW150" i="3"/>
  <c r="BZ150" i="3" s="1"/>
  <c r="CE148" i="3"/>
  <c r="CF148" i="3" s="1"/>
  <c r="BC148" i="3"/>
  <c r="CA148" i="3"/>
  <c r="CC148" i="3" s="1"/>
  <c r="CD148" i="3" s="1"/>
  <c r="BJ147" i="3"/>
  <c r="AH149" i="3"/>
  <c r="AI149" i="3" s="1"/>
  <c r="BO148" i="3"/>
  <c r="BQ148" i="3" s="1"/>
  <c r="BR148" i="3" s="1"/>
  <c r="BV147" i="3"/>
  <c r="BD147" i="3"/>
  <c r="AC149" i="3"/>
  <c r="BY149" i="3" s="1"/>
  <c r="BG149" i="3"/>
  <c r="BS149" i="3"/>
  <c r="BM149" i="3"/>
  <c r="BI148" i="3"/>
  <c r="BJ148" i="3" s="1"/>
  <c r="CB147" i="3"/>
  <c r="CC147" i="3"/>
  <c r="CD147" i="3" s="1"/>
  <c r="CF147" i="3"/>
  <c r="CG147" i="3"/>
  <c r="AY149" i="3"/>
  <c r="BD148" i="3"/>
  <c r="BE148" i="3"/>
  <c r="BF148" i="3" s="1"/>
  <c r="BV148" i="3"/>
  <c r="BW148" i="3"/>
  <c r="BX148" i="3" s="1"/>
  <c r="AN150" i="3"/>
  <c r="P150" i="3"/>
  <c r="AB150" i="3"/>
  <c r="B150" i="3"/>
  <c r="I150" i="3"/>
  <c r="G150" i="3" s="1"/>
  <c r="AO150" i="3"/>
  <c r="AQ150" i="3"/>
  <c r="AE150" i="3"/>
  <c r="Z150" i="3"/>
  <c r="J150" i="3"/>
  <c r="E150" i="3"/>
  <c r="C150" i="3"/>
  <c r="AK150" i="3"/>
  <c r="AG150" i="3"/>
  <c r="R150" i="3"/>
  <c r="H150" i="3"/>
  <c r="Y150" i="3"/>
  <c r="N150" i="3"/>
  <c r="D150" i="3"/>
  <c r="W150" i="3"/>
  <c r="AP150" i="3"/>
  <c r="AD150" i="3"/>
  <c r="X150" i="3"/>
  <c r="Q150" i="3"/>
  <c r="AF150" i="3"/>
  <c r="AR150" i="3"/>
  <c r="V150" i="3"/>
  <c r="AX150" i="3"/>
  <c r="AU150" i="3"/>
  <c r="S150" i="3"/>
  <c r="AS150" i="3"/>
  <c r="AA150" i="3"/>
  <c r="F150" i="3"/>
  <c r="M150" i="3"/>
  <c r="K150" i="3"/>
  <c r="AT150" i="3"/>
  <c r="T150" i="3"/>
  <c r="L150" i="3"/>
  <c r="A151" i="3"/>
  <c r="Q151" i="12" s="1"/>
  <c r="AV150" i="3"/>
  <c r="AL150" i="3"/>
  <c r="O150" i="3"/>
  <c r="U150" i="3"/>
  <c r="CG148" i="3" l="1"/>
  <c r="BI149" i="3"/>
  <c r="AM150" i="3"/>
  <c r="BB150" i="3"/>
  <c r="BH150" i="3"/>
  <c r="BN150" i="3"/>
  <c r="BA150" i="3"/>
  <c r="BT150" i="3"/>
  <c r="AW151" i="3"/>
  <c r="AM151" i="3" s="1"/>
  <c r="CB148" i="3"/>
  <c r="BP148" i="3"/>
  <c r="AH150" i="3"/>
  <c r="AI150" i="3" s="1"/>
  <c r="BU149" i="3"/>
  <c r="AC150" i="3"/>
  <c r="BY150" i="3" s="1"/>
  <c r="BG150" i="3"/>
  <c r="BO149" i="3"/>
  <c r="BQ149" i="3" s="1"/>
  <c r="BR149" i="3" s="1"/>
  <c r="BE149" i="3"/>
  <c r="BF149" i="3" s="1"/>
  <c r="BD149" i="3"/>
  <c r="BK148" i="3"/>
  <c r="BL148" i="3" s="1"/>
  <c r="BJ149" i="3"/>
  <c r="BK149" i="3"/>
  <c r="BL149" i="3" s="1"/>
  <c r="AY150" i="3"/>
  <c r="BS150" i="3"/>
  <c r="BM150" i="3"/>
  <c r="CA149" i="3"/>
  <c r="CE149" i="3"/>
  <c r="AU151" i="3"/>
  <c r="AQ151" i="3"/>
  <c r="E151" i="3"/>
  <c r="R151" i="3"/>
  <c r="V151" i="3"/>
  <c r="AN151" i="3"/>
  <c r="AX151" i="3"/>
  <c r="A152" i="3"/>
  <c r="Q152" i="12" s="1"/>
  <c r="AK151" i="3"/>
  <c r="X151" i="3"/>
  <c r="AF151" i="3"/>
  <c r="AL151" i="3"/>
  <c r="AG151" i="3"/>
  <c r="Z151" i="3"/>
  <c r="AE151" i="3"/>
  <c r="AV151" i="3"/>
  <c r="AA151" i="3"/>
  <c r="AP151" i="3"/>
  <c r="O151" i="3"/>
  <c r="B151" i="3"/>
  <c r="D151" i="3"/>
  <c r="F151" i="3"/>
  <c r="L151" i="3"/>
  <c r="M151" i="3"/>
  <c r="J151" i="3"/>
  <c r="AT151" i="3"/>
  <c r="W151" i="3"/>
  <c r="AS151" i="3"/>
  <c r="N151" i="3"/>
  <c r="I151" i="3"/>
  <c r="G151" i="3" s="1"/>
  <c r="K151" i="3"/>
  <c r="Q151" i="3"/>
  <c r="P151" i="3"/>
  <c r="AB151" i="3"/>
  <c r="Y151" i="3"/>
  <c r="T151" i="3"/>
  <c r="C151" i="3"/>
  <c r="H151" i="3"/>
  <c r="AD151" i="3"/>
  <c r="U151" i="3"/>
  <c r="S151" i="3"/>
  <c r="AR151" i="3"/>
  <c r="AO151" i="3"/>
  <c r="BT151" i="3" l="1"/>
  <c r="BC150" i="3"/>
  <c r="BB151" i="3"/>
  <c r="BH151" i="3"/>
  <c r="BN151" i="3"/>
  <c r="BA151" i="3"/>
  <c r="BZ151" i="3"/>
  <c r="AW152" i="3"/>
  <c r="AM152" i="3" s="1"/>
  <c r="BI150" i="3"/>
  <c r="BJ150" i="3" s="1"/>
  <c r="BP149" i="3"/>
  <c r="AH151" i="3"/>
  <c r="AI151" i="3" s="1"/>
  <c r="BV149" i="3"/>
  <c r="BW149" i="3"/>
  <c r="BX149" i="3" s="1"/>
  <c r="BM151" i="3"/>
  <c r="BU150" i="3"/>
  <c r="BV150" i="3" s="1"/>
  <c r="BG151" i="3"/>
  <c r="BK150" i="3"/>
  <c r="BL150" i="3" s="1"/>
  <c r="AY151" i="3"/>
  <c r="BO150" i="3"/>
  <c r="BE150" i="3"/>
  <c r="BF150" i="3" s="1"/>
  <c r="BD150" i="3"/>
  <c r="BS151" i="3"/>
  <c r="AC151" i="3"/>
  <c r="BY151" i="3" s="1"/>
  <c r="CF149" i="3"/>
  <c r="CG149" i="3"/>
  <c r="CB149" i="3"/>
  <c r="CC149" i="3"/>
  <c r="CD149" i="3" s="1"/>
  <c r="CE150" i="3"/>
  <c r="CA150" i="3"/>
  <c r="AV152" i="3"/>
  <c r="J152" i="3"/>
  <c r="AA152" i="3"/>
  <c r="AN152" i="3"/>
  <c r="AU152" i="3"/>
  <c r="AB152" i="3"/>
  <c r="B152" i="3"/>
  <c r="A153" i="3"/>
  <c r="Q153" i="12" s="1"/>
  <c r="AF152" i="3"/>
  <c r="V152" i="3"/>
  <c r="Z152" i="3"/>
  <c r="L152" i="3"/>
  <c r="AD152" i="3"/>
  <c r="O152" i="3"/>
  <c r="R152" i="3"/>
  <c r="AT152" i="3"/>
  <c r="AX152" i="3"/>
  <c r="F152" i="3"/>
  <c r="H152" i="3"/>
  <c r="X152" i="3"/>
  <c r="M152" i="3"/>
  <c r="AG152" i="3"/>
  <c r="AE152" i="3"/>
  <c r="AL152" i="3"/>
  <c r="AK152" i="3"/>
  <c r="AQ152" i="3"/>
  <c r="U152" i="3"/>
  <c r="I152" i="3"/>
  <c r="G152" i="3" s="1"/>
  <c r="AR152" i="3"/>
  <c r="AO152" i="3"/>
  <c r="E152" i="3"/>
  <c r="Y152" i="3"/>
  <c r="T152" i="3"/>
  <c r="Q152" i="3"/>
  <c r="P152" i="3"/>
  <c r="N152" i="3"/>
  <c r="AS152" i="3"/>
  <c r="W152" i="3"/>
  <c r="C152" i="3"/>
  <c r="AP152" i="3"/>
  <c r="K152" i="3"/>
  <c r="S152" i="3"/>
  <c r="D152" i="3"/>
  <c r="BB152" i="3" l="1"/>
  <c r="BT152" i="3"/>
  <c r="BH152" i="3"/>
  <c r="BN152" i="3"/>
  <c r="BA152" i="3"/>
  <c r="BZ152" i="3"/>
  <c r="AW153" i="3"/>
  <c r="BZ153" i="3" s="1"/>
  <c r="BW150" i="3"/>
  <c r="BX150" i="3" s="1"/>
  <c r="AH152" i="3"/>
  <c r="AI152" i="3" s="1"/>
  <c r="BO151" i="3"/>
  <c r="BP151" i="3" s="1"/>
  <c r="BC151" i="3"/>
  <c r="BD151" i="3" s="1"/>
  <c r="BI151" i="3"/>
  <c r="BK151" i="3" s="1"/>
  <c r="BL151" i="3" s="1"/>
  <c r="AY152" i="3"/>
  <c r="AC152" i="3"/>
  <c r="BY152" i="3" s="1"/>
  <c r="BQ151" i="3"/>
  <c r="BR151" i="3" s="1"/>
  <c r="BG152" i="3"/>
  <c r="BS152" i="3"/>
  <c r="BM152" i="3"/>
  <c r="CB150" i="3"/>
  <c r="CC150" i="3"/>
  <c r="CD150" i="3" s="1"/>
  <c r="BP150" i="3"/>
  <c r="BQ150" i="3"/>
  <c r="BR150" i="3" s="1"/>
  <c r="CG150" i="3"/>
  <c r="CF150" i="3"/>
  <c r="BU151" i="3"/>
  <c r="CE151" i="3"/>
  <c r="CA151" i="3"/>
  <c r="AD153" i="3"/>
  <c r="K153" i="3"/>
  <c r="X153" i="3"/>
  <c r="L153" i="3"/>
  <c r="Q153" i="3"/>
  <c r="AN153" i="3"/>
  <c r="Y153" i="3"/>
  <c r="N153" i="3"/>
  <c r="AO153" i="3"/>
  <c r="B153" i="3"/>
  <c r="AP153" i="3"/>
  <c r="F153" i="3"/>
  <c r="AB153" i="3"/>
  <c r="Z153" i="3"/>
  <c r="AT153" i="3"/>
  <c r="H153" i="3"/>
  <c r="S153" i="3"/>
  <c r="AX153" i="3"/>
  <c r="J153" i="3"/>
  <c r="AA153" i="3"/>
  <c r="V153" i="3"/>
  <c r="U153" i="3"/>
  <c r="AS153" i="3"/>
  <c r="I153" i="3"/>
  <c r="G153" i="3" s="1"/>
  <c r="AE153" i="3"/>
  <c r="AL153" i="3"/>
  <c r="AQ153" i="3"/>
  <c r="C153" i="3"/>
  <c r="A154" i="3"/>
  <c r="Q154" i="12" s="1"/>
  <c r="AK153" i="3"/>
  <c r="P153" i="3"/>
  <c r="AV153" i="3"/>
  <c r="AG153" i="3"/>
  <c r="R153" i="3"/>
  <c r="E153" i="3"/>
  <c r="AU153" i="3"/>
  <c r="AF153" i="3"/>
  <c r="M153" i="3"/>
  <c r="AR153" i="3"/>
  <c r="O153" i="3"/>
  <c r="W153" i="3"/>
  <c r="D153" i="3"/>
  <c r="T153" i="3"/>
  <c r="BC152" i="3" l="1"/>
  <c r="BD152" i="3" s="1"/>
  <c r="BN153" i="3"/>
  <c r="AC153" i="3"/>
  <c r="BT153" i="3"/>
  <c r="BB153" i="3"/>
  <c r="BH153" i="3"/>
  <c r="AM153" i="3"/>
  <c r="BA153" i="3"/>
  <c r="AW154" i="3"/>
  <c r="BZ154" i="3" s="1"/>
  <c r="BJ151" i="3"/>
  <c r="BE151" i="3"/>
  <c r="BF151" i="3" s="1"/>
  <c r="AH153" i="3"/>
  <c r="AI153" i="3" s="1"/>
  <c r="CA152" i="3"/>
  <c r="CC152" i="3" s="1"/>
  <c r="CD152" i="3" s="1"/>
  <c r="BE152" i="3"/>
  <c r="BF152" i="3" s="1"/>
  <c r="CE152" i="3"/>
  <c r="BI152" i="3"/>
  <c r="BJ152" i="3" s="1"/>
  <c r="AY153" i="3"/>
  <c r="CE153" i="3" s="1"/>
  <c r="BM153" i="3"/>
  <c r="BY153" i="3"/>
  <c r="BG153" i="3"/>
  <c r="CC151" i="3"/>
  <c r="CD151" i="3" s="1"/>
  <c r="CB151" i="3"/>
  <c r="BO152" i="3"/>
  <c r="BS153" i="3"/>
  <c r="BU152" i="3"/>
  <c r="CG151" i="3"/>
  <c r="CF151" i="3"/>
  <c r="BW151" i="3"/>
  <c r="BX151" i="3" s="1"/>
  <c r="BV151" i="3"/>
  <c r="N154" i="3"/>
  <c r="C154" i="3"/>
  <c r="Z154" i="3"/>
  <c r="AX154" i="3"/>
  <c r="D154" i="3"/>
  <c r="Y154" i="3"/>
  <c r="AE154" i="3"/>
  <c r="AC154" i="3" s="1"/>
  <c r="T154" i="3"/>
  <c r="J154" i="3"/>
  <c r="AT154" i="3"/>
  <c r="V154" i="3"/>
  <c r="A155" i="3"/>
  <c r="Q155" i="12" s="1"/>
  <c r="AO154" i="3"/>
  <c r="AN154" i="3"/>
  <c r="AV154" i="3"/>
  <c r="AA154" i="3"/>
  <c r="L154" i="3"/>
  <c r="S154" i="3"/>
  <c r="AF154" i="3"/>
  <c r="AG154" i="3"/>
  <c r="P154" i="3"/>
  <c r="AK154" i="3"/>
  <c r="W154" i="3"/>
  <c r="B154" i="3"/>
  <c r="U154" i="3"/>
  <c r="Q154" i="3"/>
  <c r="I154" i="3"/>
  <c r="G154" i="3" s="1"/>
  <c r="O154" i="3"/>
  <c r="AU154" i="3"/>
  <c r="AS154" i="3"/>
  <c r="AQ154" i="3"/>
  <c r="F154" i="3"/>
  <c r="X154" i="3"/>
  <c r="AD154" i="3"/>
  <c r="H154" i="3"/>
  <c r="AL154" i="3"/>
  <c r="M154" i="3"/>
  <c r="AB154" i="3"/>
  <c r="K154" i="3"/>
  <c r="AR154" i="3"/>
  <c r="R154" i="3"/>
  <c r="AP154" i="3"/>
  <c r="E154" i="3"/>
  <c r="AM154" i="3" l="1"/>
  <c r="BH154" i="3"/>
  <c r="BN154" i="3"/>
  <c r="BB154" i="3"/>
  <c r="BA154" i="3"/>
  <c r="BT154" i="3"/>
  <c r="AW155" i="3"/>
  <c r="AM155" i="3" s="1"/>
  <c r="CB152" i="3"/>
  <c r="BK152" i="3"/>
  <c r="BL152" i="3" s="1"/>
  <c r="CA153" i="3"/>
  <c r="CC153" i="3" s="1"/>
  <c r="CD153" i="3" s="1"/>
  <c r="AH154" i="3"/>
  <c r="AI154" i="3" s="1"/>
  <c r="BO153" i="3"/>
  <c r="BP153" i="3" s="1"/>
  <c r="BY154" i="3"/>
  <c r="CG152" i="3"/>
  <c r="CF152" i="3"/>
  <c r="BU153" i="3"/>
  <c r="BV153" i="3" s="1"/>
  <c r="BW152" i="3"/>
  <c r="BX152" i="3" s="1"/>
  <c r="BV152" i="3"/>
  <c r="BI153" i="3"/>
  <c r="BM154" i="3"/>
  <c r="BG154" i="3"/>
  <c r="BP152" i="3"/>
  <c r="BQ152" i="3"/>
  <c r="BR152" i="3" s="1"/>
  <c r="AY154" i="3"/>
  <c r="BS154" i="3"/>
  <c r="BC153" i="3"/>
  <c r="CF153" i="3"/>
  <c r="CG153" i="3"/>
  <c r="AF155" i="3"/>
  <c r="AD155" i="3"/>
  <c r="AP155" i="3"/>
  <c r="H155" i="3"/>
  <c r="B155" i="3"/>
  <c r="AT155" i="3"/>
  <c r="D155" i="3"/>
  <c r="V155" i="3"/>
  <c r="AX155" i="3"/>
  <c r="Y155" i="3"/>
  <c r="T155" i="3"/>
  <c r="AK155" i="3"/>
  <c r="C155" i="3"/>
  <c r="AV155" i="3"/>
  <c r="K155" i="3"/>
  <c r="AE155" i="3"/>
  <c r="BS155" i="3" s="1"/>
  <c r="AL155" i="3"/>
  <c r="L155" i="3"/>
  <c r="O155" i="3"/>
  <c r="AN155" i="3"/>
  <c r="AQ155" i="3"/>
  <c r="AA155" i="3"/>
  <c r="AG155" i="3"/>
  <c r="J155" i="3"/>
  <c r="P155" i="3"/>
  <c r="Q155" i="3"/>
  <c r="A156" i="3"/>
  <c r="Q156" i="12" s="1"/>
  <c r="U155" i="3"/>
  <c r="AS155" i="3"/>
  <c r="M155" i="3"/>
  <c r="W155" i="3"/>
  <c r="F155" i="3"/>
  <c r="Z155" i="3"/>
  <c r="AO155" i="3"/>
  <c r="E155" i="3"/>
  <c r="S155" i="3"/>
  <c r="AU155" i="3"/>
  <c r="AB155" i="3"/>
  <c r="AR155" i="3"/>
  <c r="X155" i="3"/>
  <c r="I155" i="3"/>
  <c r="G155" i="3" s="1"/>
  <c r="R155" i="3"/>
  <c r="N155" i="3"/>
  <c r="BT155" i="3" l="1"/>
  <c r="BN155" i="3"/>
  <c r="BB155" i="3"/>
  <c r="BA155" i="3"/>
  <c r="CB153" i="3"/>
  <c r="BZ155" i="3"/>
  <c r="BH155" i="3"/>
  <c r="AW156" i="3"/>
  <c r="BZ156" i="3" s="1"/>
  <c r="BQ153" i="3"/>
  <c r="BR153" i="3" s="1"/>
  <c r="BW153" i="3"/>
  <c r="BX153" i="3" s="1"/>
  <c r="AH155" i="3"/>
  <c r="AI155" i="3" s="1"/>
  <c r="BI154" i="3"/>
  <c r="BK154" i="3" s="1"/>
  <c r="BL154" i="3" s="1"/>
  <c r="BM155" i="3"/>
  <c r="BO155" i="3" s="1"/>
  <c r="AC155" i="3"/>
  <c r="BY155" i="3" s="1"/>
  <c r="BU154" i="3"/>
  <c r="BW154" i="3" s="1"/>
  <c r="BX154" i="3" s="1"/>
  <c r="BD153" i="3"/>
  <c r="BE153" i="3"/>
  <c r="BF153" i="3" s="1"/>
  <c r="BJ153" i="3"/>
  <c r="BK153" i="3"/>
  <c r="BL153" i="3" s="1"/>
  <c r="BU155" i="3"/>
  <c r="BG155" i="3"/>
  <c r="AY155" i="3"/>
  <c r="CA154" i="3"/>
  <c r="CE154" i="3"/>
  <c r="BO154" i="3"/>
  <c r="BC154" i="3"/>
  <c r="Z156" i="3"/>
  <c r="M156" i="3"/>
  <c r="I156" i="3"/>
  <c r="G156" i="3" s="1"/>
  <c r="J156" i="3"/>
  <c r="C156" i="3"/>
  <c r="AV156" i="3"/>
  <c r="F156" i="3"/>
  <c r="AF156" i="3"/>
  <c r="Y156" i="3"/>
  <c r="AT156" i="3"/>
  <c r="AE156" i="3"/>
  <c r="P156" i="3"/>
  <c r="U156" i="3"/>
  <c r="K156" i="3"/>
  <c r="E156" i="3"/>
  <c r="N156" i="3"/>
  <c r="T156" i="3"/>
  <c r="S156" i="3"/>
  <c r="A157" i="3"/>
  <c r="Q157" i="12" s="1"/>
  <c r="AN156" i="3"/>
  <c r="L156" i="3"/>
  <c r="X156" i="3"/>
  <c r="W156" i="3"/>
  <c r="AG156" i="3"/>
  <c r="B156" i="3"/>
  <c r="AR156" i="3"/>
  <c r="AP156" i="3"/>
  <c r="AA156" i="3"/>
  <c r="AL156" i="3"/>
  <c r="AO156" i="3"/>
  <c r="Q156" i="3"/>
  <c r="V156" i="3"/>
  <c r="AD156" i="3"/>
  <c r="H156" i="3"/>
  <c r="AX156" i="3"/>
  <c r="D156" i="3"/>
  <c r="AQ156" i="3"/>
  <c r="AK156" i="3"/>
  <c r="AS156" i="3"/>
  <c r="AB156" i="3"/>
  <c r="AU156" i="3"/>
  <c r="O156" i="3"/>
  <c r="R156" i="3"/>
  <c r="BH156" i="3" l="1"/>
  <c r="AM156" i="3"/>
  <c r="BN156" i="3"/>
  <c r="BJ154" i="3"/>
  <c r="BA156" i="3"/>
  <c r="BT156" i="3"/>
  <c r="BB156" i="3"/>
  <c r="BC156" i="3" s="1"/>
  <c r="AW157" i="3"/>
  <c r="AM157" i="3" s="1"/>
  <c r="BV154" i="3"/>
  <c r="AH156" i="3"/>
  <c r="AI156" i="3" s="1"/>
  <c r="BS156" i="3"/>
  <c r="BP155" i="3"/>
  <c r="BQ155" i="3"/>
  <c r="BR155" i="3" s="1"/>
  <c r="BW155" i="3"/>
  <c r="BX155" i="3" s="1"/>
  <c r="BV155" i="3"/>
  <c r="BC155" i="3"/>
  <c r="BQ154" i="3"/>
  <c r="BR154" i="3" s="1"/>
  <c r="BP154" i="3"/>
  <c r="CG154" i="3"/>
  <c r="CF154" i="3"/>
  <c r="AY156" i="3"/>
  <c r="CB154" i="3"/>
  <c r="CC154" i="3"/>
  <c r="CD154" i="3" s="1"/>
  <c r="BG156" i="3"/>
  <c r="AC156" i="3"/>
  <c r="BY156" i="3" s="1"/>
  <c r="CE155" i="3"/>
  <c r="CA155" i="3"/>
  <c r="BM156" i="3"/>
  <c r="BD154" i="3"/>
  <c r="BE154" i="3"/>
  <c r="BF154" i="3" s="1"/>
  <c r="BI155" i="3"/>
  <c r="AN157" i="3"/>
  <c r="O157" i="3"/>
  <c r="AB157" i="3"/>
  <c r="AA157" i="3"/>
  <c r="F157" i="3"/>
  <c r="M157" i="3"/>
  <c r="Y157" i="3"/>
  <c r="AK157" i="3"/>
  <c r="U157" i="3"/>
  <c r="H157" i="3"/>
  <c r="V157" i="3"/>
  <c r="AT157" i="3"/>
  <c r="B157" i="3"/>
  <c r="R157" i="3"/>
  <c r="A158" i="3"/>
  <c r="Q158" i="12" s="1"/>
  <c r="AS157" i="3"/>
  <c r="AR157" i="3"/>
  <c r="D157" i="3"/>
  <c r="AP157" i="3"/>
  <c r="AO157" i="3"/>
  <c r="AQ157" i="3"/>
  <c r="AL157" i="3"/>
  <c r="C157" i="3"/>
  <c r="AX157" i="3"/>
  <c r="T157" i="3"/>
  <c r="J157" i="3"/>
  <c r="Q157" i="3"/>
  <c r="X157" i="3"/>
  <c r="AF157" i="3"/>
  <c r="AV157" i="3"/>
  <c r="AU157" i="3"/>
  <c r="AG157" i="3"/>
  <c r="E157" i="3"/>
  <c r="P157" i="3"/>
  <c r="Z157" i="3"/>
  <c r="N157" i="3"/>
  <c r="W157" i="3"/>
  <c r="S157" i="3"/>
  <c r="I157" i="3"/>
  <c r="G157" i="3" s="1"/>
  <c r="AD157" i="3"/>
  <c r="AE157" i="3"/>
  <c r="AC157" i="3" s="1"/>
  <c r="L157" i="3"/>
  <c r="K157" i="3"/>
  <c r="BZ157" i="3" l="1"/>
  <c r="BB157" i="3"/>
  <c r="BH157" i="3"/>
  <c r="BN157" i="3"/>
  <c r="BA157" i="3"/>
  <c r="BT157" i="3"/>
  <c r="AW158" i="3"/>
  <c r="AM158" i="3" s="1"/>
  <c r="BU156" i="3"/>
  <c r="BW156" i="3" s="1"/>
  <c r="BX156" i="3" s="1"/>
  <c r="BY157" i="3"/>
  <c r="AH157" i="3"/>
  <c r="AI157" i="3" s="1"/>
  <c r="AY157" i="3"/>
  <c r="BM157" i="3"/>
  <c r="CG155" i="3"/>
  <c r="CF155" i="3"/>
  <c r="CE156" i="3"/>
  <c r="CA156" i="3"/>
  <c r="CC155" i="3"/>
  <c r="CD155" i="3" s="1"/>
  <c r="CB155" i="3"/>
  <c r="BI156" i="3"/>
  <c r="BK155" i="3"/>
  <c r="BL155" i="3" s="1"/>
  <c r="BJ155" i="3"/>
  <c r="BS157" i="3"/>
  <c r="BD156" i="3"/>
  <c r="BE156" i="3"/>
  <c r="BF156" i="3" s="1"/>
  <c r="BG157" i="3"/>
  <c r="BO156" i="3"/>
  <c r="BE155" i="3"/>
  <c r="BF155" i="3" s="1"/>
  <c r="BD155" i="3"/>
  <c r="AR158" i="3"/>
  <c r="Z158" i="3"/>
  <c r="AP158" i="3"/>
  <c r="AE158" i="3"/>
  <c r="AC158" i="3" s="1"/>
  <c r="AL158" i="3"/>
  <c r="M158" i="3"/>
  <c r="A159" i="3"/>
  <c r="Q159" i="12" s="1"/>
  <c r="W158" i="3"/>
  <c r="AO158" i="3"/>
  <c r="AV158" i="3"/>
  <c r="H158" i="3"/>
  <c r="AG158" i="3"/>
  <c r="S158" i="3"/>
  <c r="F158" i="3"/>
  <c r="I158" i="3"/>
  <c r="G158" i="3" s="1"/>
  <c r="AT158" i="3"/>
  <c r="O158" i="3"/>
  <c r="D158" i="3"/>
  <c r="U158" i="3"/>
  <c r="L158" i="3"/>
  <c r="N158" i="3"/>
  <c r="V158" i="3"/>
  <c r="AQ158" i="3"/>
  <c r="R158" i="3"/>
  <c r="AX158" i="3"/>
  <c r="X158" i="3"/>
  <c r="AA158" i="3"/>
  <c r="AD158" i="3"/>
  <c r="K158" i="3"/>
  <c r="AU158" i="3"/>
  <c r="T158" i="3"/>
  <c r="AK158" i="3"/>
  <c r="J158" i="3"/>
  <c r="B158" i="3"/>
  <c r="C158" i="3"/>
  <c r="AN158" i="3"/>
  <c r="AS158" i="3"/>
  <c r="AB158" i="3"/>
  <c r="E158" i="3"/>
  <c r="Q158" i="3"/>
  <c r="Y158" i="3"/>
  <c r="AF158" i="3"/>
  <c r="P158" i="3"/>
  <c r="CA157" i="3" l="1"/>
  <c r="BH158" i="3"/>
  <c r="BB158" i="3"/>
  <c r="BN158" i="3"/>
  <c r="BA158" i="3"/>
  <c r="BT158" i="3"/>
  <c r="BV156" i="3"/>
  <c r="BZ158" i="3"/>
  <c r="AW159" i="3"/>
  <c r="BZ159" i="3" s="1"/>
  <c r="CE157" i="3"/>
  <c r="CF157" i="3" s="1"/>
  <c r="BC157" i="3"/>
  <c r="BE157" i="3" s="1"/>
  <c r="BF157" i="3" s="1"/>
  <c r="BY158" i="3"/>
  <c r="AH158" i="3"/>
  <c r="AI158" i="3" s="1"/>
  <c r="BS158" i="3"/>
  <c r="BO157" i="3"/>
  <c r="BP157" i="3" s="1"/>
  <c r="AY158" i="3"/>
  <c r="CE158" i="3" s="1"/>
  <c r="BM158" i="3"/>
  <c r="CB157" i="3"/>
  <c r="CC157" i="3"/>
  <c r="CD157" i="3" s="1"/>
  <c r="BI157" i="3"/>
  <c r="BK156" i="3"/>
  <c r="BL156" i="3" s="1"/>
  <c r="BJ156" i="3"/>
  <c r="CC156" i="3"/>
  <c r="CD156" i="3" s="1"/>
  <c r="CB156" i="3"/>
  <c r="BU157" i="3"/>
  <c r="BG158" i="3"/>
  <c r="CG156" i="3"/>
  <c r="CF156" i="3"/>
  <c r="BQ156" i="3"/>
  <c r="BR156" i="3" s="1"/>
  <c r="BP156" i="3"/>
  <c r="L159" i="3"/>
  <c r="AK159" i="3"/>
  <c r="Q159" i="3"/>
  <c r="T159" i="3"/>
  <c r="H159" i="3"/>
  <c r="AO159" i="3"/>
  <c r="AE159" i="3"/>
  <c r="C159" i="3"/>
  <c r="AN159" i="3"/>
  <c r="M159" i="3"/>
  <c r="Y159" i="3"/>
  <c r="O159" i="3"/>
  <c r="S159" i="3"/>
  <c r="AQ159" i="3"/>
  <c r="U159" i="3"/>
  <c r="D159" i="3"/>
  <c r="J159" i="3"/>
  <c r="AR159" i="3"/>
  <c r="AV159" i="3"/>
  <c r="AU159" i="3"/>
  <c r="P159" i="3"/>
  <c r="W159" i="3"/>
  <c r="Z159" i="3"/>
  <c r="R159" i="3"/>
  <c r="AB159" i="3"/>
  <c r="AL159" i="3"/>
  <c r="V159" i="3"/>
  <c r="X159" i="3"/>
  <c r="AF159" i="3"/>
  <c r="AP159" i="3"/>
  <c r="AA159" i="3"/>
  <c r="N159" i="3"/>
  <c r="F159" i="3"/>
  <c r="A160" i="3"/>
  <c r="Q160" i="12" s="1"/>
  <c r="AX159" i="3"/>
  <c r="K159" i="3"/>
  <c r="AD159" i="3"/>
  <c r="AT159" i="3"/>
  <c r="AG159" i="3"/>
  <c r="B159" i="3"/>
  <c r="I159" i="3"/>
  <c r="G159" i="3" s="1"/>
  <c r="AS159" i="3"/>
  <c r="E159" i="3"/>
  <c r="BU158" i="3" l="1"/>
  <c r="BV158" i="3" s="1"/>
  <c r="BN159" i="3"/>
  <c r="AM159" i="3"/>
  <c r="BB159" i="3"/>
  <c r="CA158" i="3"/>
  <c r="BH159" i="3"/>
  <c r="BA159" i="3"/>
  <c r="BT159" i="3"/>
  <c r="CG157" i="3"/>
  <c r="AW160" i="3"/>
  <c r="AM160" i="3" s="1"/>
  <c r="BD157" i="3"/>
  <c r="BQ157" i="3"/>
  <c r="BR157" i="3" s="1"/>
  <c r="BC158" i="3"/>
  <c r="BD158" i="3" s="1"/>
  <c r="BM159" i="3"/>
  <c r="CG158" i="3"/>
  <c r="AH159" i="3"/>
  <c r="AI159" i="3" s="1"/>
  <c r="BI158" i="3"/>
  <c r="BJ158" i="3" s="1"/>
  <c r="BO158" i="3"/>
  <c r="BQ158" i="3" s="1"/>
  <c r="BR158" i="3" s="1"/>
  <c r="CF158" i="3"/>
  <c r="AY159" i="3"/>
  <c r="BE158" i="3"/>
  <c r="BF158" i="3" s="1"/>
  <c r="CC158" i="3"/>
  <c r="CD158" i="3" s="1"/>
  <c r="CB158" i="3"/>
  <c r="BV157" i="3"/>
  <c r="BW157" i="3"/>
  <c r="BX157" i="3" s="1"/>
  <c r="AC159" i="3"/>
  <c r="BY159" i="3" s="1"/>
  <c r="BS159" i="3"/>
  <c r="BG159" i="3"/>
  <c r="BJ157" i="3"/>
  <c r="BK157" i="3"/>
  <c r="BL157" i="3" s="1"/>
  <c r="O160" i="3"/>
  <c r="T160" i="3"/>
  <c r="AG160" i="3"/>
  <c r="A185" i="3"/>
  <c r="Q185" i="12" s="1"/>
  <c r="E160" i="3"/>
  <c r="J160" i="3"/>
  <c r="Z160" i="3"/>
  <c r="AF160" i="3"/>
  <c r="AR160" i="3"/>
  <c r="AX160" i="3"/>
  <c r="D160" i="3"/>
  <c r="Y160" i="3"/>
  <c r="F160" i="3"/>
  <c r="N160" i="3"/>
  <c r="B160" i="3"/>
  <c r="AT160" i="3"/>
  <c r="U160" i="3"/>
  <c r="AV160" i="3"/>
  <c r="AD160" i="3"/>
  <c r="I160" i="3"/>
  <c r="G160" i="3" s="1"/>
  <c r="X160" i="3"/>
  <c r="Q160" i="3"/>
  <c r="AA160" i="3"/>
  <c r="AO160" i="3"/>
  <c r="H160" i="3"/>
  <c r="C160" i="3"/>
  <c r="AL160" i="3"/>
  <c r="AK160" i="3"/>
  <c r="AB160" i="3"/>
  <c r="K160" i="3"/>
  <c r="AE160" i="3"/>
  <c r="AS160" i="3"/>
  <c r="AQ160" i="3"/>
  <c r="V160" i="3"/>
  <c r="P160" i="3"/>
  <c r="W160" i="3"/>
  <c r="AU160" i="3"/>
  <c r="S160" i="3"/>
  <c r="M160" i="3"/>
  <c r="L160" i="3"/>
  <c r="A161" i="3"/>
  <c r="Q161" i="12" s="1"/>
  <c r="AP160" i="3"/>
  <c r="AN160" i="3"/>
  <c r="R160" i="3"/>
  <c r="BW158" i="3" l="1"/>
  <c r="BX158" i="3" s="1"/>
  <c r="BA160" i="3"/>
  <c r="BB160" i="3"/>
  <c r="BH160" i="3"/>
  <c r="BN160" i="3"/>
  <c r="BT160" i="3"/>
  <c r="BZ160" i="3"/>
  <c r="AW161" i="3"/>
  <c r="BZ161" i="3" s="1"/>
  <c r="AW185" i="3"/>
  <c r="BZ185" i="3" s="1"/>
  <c r="BK158" i="3"/>
  <c r="BL158" i="3" s="1"/>
  <c r="BP158" i="3"/>
  <c r="BO159" i="3"/>
  <c r="BQ159" i="3" s="1"/>
  <c r="BR159" i="3" s="1"/>
  <c r="AH160" i="3"/>
  <c r="AI160" i="3" s="1"/>
  <c r="BI159" i="3"/>
  <c r="BJ159" i="3" s="1"/>
  <c r="BC159" i="3"/>
  <c r="BD159" i="3" s="1"/>
  <c r="BU159" i="3"/>
  <c r="BW159" i="3" s="1"/>
  <c r="BX159" i="3" s="1"/>
  <c r="CE159" i="3"/>
  <c r="CF159" i="3" s="1"/>
  <c r="BM160" i="3"/>
  <c r="BG160" i="3"/>
  <c r="BS160" i="3"/>
  <c r="AY160" i="3"/>
  <c r="CA159" i="3"/>
  <c r="AC160" i="3"/>
  <c r="BY160" i="3" s="1"/>
  <c r="A210" i="3"/>
  <c r="Q210" i="12" s="1"/>
  <c r="A186" i="3"/>
  <c r="Q186" i="12" s="1"/>
  <c r="AT161" i="3"/>
  <c r="AQ161" i="3"/>
  <c r="T161" i="3"/>
  <c r="AG161" i="3"/>
  <c r="P161" i="3"/>
  <c r="AN161" i="3"/>
  <c r="AS161" i="3"/>
  <c r="B161" i="3"/>
  <c r="AF161" i="3"/>
  <c r="D161" i="3"/>
  <c r="AP161" i="3"/>
  <c r="Z161" i="3"/>
  <c r="Q161" i="3"/>
  <c r="A172" i="3"/>
  <c r="Q172" i="12" s="1"/>
  <c r="AB161" i="3"/>
  <c r="E161" i="3"/>
  <c r="F161" i="3"/>
  <c r="I161" i="3"/>
  <c r="G161" i="3" s="1"/>
  <c r="Y161" i="3"/>
  <c r="S161" i="3"/>
  <c r="L161" i="3"/>
  <c r="M161" i="3"/>
  <c r="V161" i="3"/>
  <c r="U161" i="3"/>
  <c r="AV161" i="3"/>
  <c r="AX161" i="3"/>
  <c r="C161" i="3"/>
  <c r="H161" i="3"/>
  <c r="AR161" i="3"/>
  <c r="A162" i="3"/>
  <c r="Q162" i="12" s="1"/>
  <c r="J161" i="3"/>
  <c r="R161" i="3"/>
  <c r="AD161" i="3"/>
  <c r="K161" i="3"/>
  <c r="AL161" i="3"/>
  <c r="N161" i="3"/>
  <c r="W161" i="3"/>
  <c r="X161" i="3"/>
  <c r="AE161" i="3"/>
  <c r="AK161" i="3"/>
  <c r="AA161" i="3"/>
  <c r="AO161" i="3"/>
  <c r="AU161" i="3"/>
  <c r="O161" i="3"/>
  <c r="W185" i="3"/>
  <c r="U185" i="3"/>
  <c r="AX185" i="3"/>
  <c r="AP185" i="3"/>
  <c r="B185" i="3"/>
  <c r="X185" i="3"/>
  <c r="M185" i="3"/>
  <c r="J185" i="3"/>
  <c r="AT185" i="3"/>
  <c r="S185" i="3"/>
  <c r="D185" i="3"/>
  <c r="AB185" i="3"/>
  <c r="AL185" i="3"/>
  <c r="Q185" i="3"/>
  <c r="AU185" i="3"/>
  <c r="F185" i="3"/>
  <c r="AN185" i="3"/>
  <c r="AE185" i="3"/>
  <c r="AD185" i="3"/>
  <c r="AG185" i="3"/>
  <c r="I185" i="3"/>
  <c r="G185" i="3" s="1"/>
  <c r="V185" i="3"/>
  <c r="AF185" i="3"/>
  <c r="AR185" i="3"/>
  <c r="H185" i="3"/>
  <c r="AQ185" i="3"/>
  <c r="E185" i="3"/>
  <c r="Y185" i="3"/>
  <c r="P185" i="3"/>
  <c r="O185" i="3"/>
  <c r="T185" i="3"/>
  <c r="R185" i="3"/>
  <c r="L185" i="3"/>
  <c r="AO185" i="3"/>
  <c r="C185" i="3"/>
  <c r="AS185" i="3"/>
  <c r="AK185" i="3"/>
  <c r="AV185" i="3"/>
  <c r="N185" i="3"/>
  <c r="AA185" i="3"/>
  <c r="K185" i="3"/>
  <c r="Z185" i="3"/>
  <c r="AM161" i="3" l="1"/>
  <c r="AM185" i="3"/>
  <c r="BB185" i="3"/>
  <c r="BB161" i="3"/>
  <c r="BN185" i="3"/>
  <c r="BN161" i="3"/>
  <c r="BH185" i="3"/>
  <c r="BP159" i="3"/>
  <c r="BA185" i="3"/>
  <c r="BA161" i="3"/>
  <c r="BT161" i="3"/>
  <c r="BT185" i="3"/>
  <c r="BH161" i="3"/>
  <c r="AW162" i="3"/>
  <c r="AM162" i="3" s="1"/>
  <c r="AW210" i="3"/>
  <c r="AM210" i="3" s="1"/>
  <c r="AW172" i="3"/>
  <c r="AM172" i="3" s="1"/>
  <c r="AW186" i="3"/>
  <c r="AM186" i="3" s="1"/>
  <c r="BV159" i="3"/>
  <c r="CG159" i="3"/>
  <c r="BK159" i="3"/>
  <c r="BL159" i="3" s="1"/>
  <c r="BE159" i="3"/>
  <c r="BF159" i="3" s="1"/>
  <c r="AH161" i="3"/>
  <c r="AI161" i="3" s="1"/>
  <c r="AH185" i="3"/>
  <c r="AI185" i="3" s="1"/>
  <c r="BM161" i="3"/>
  <c r="AC161" i="3"/>
  <c r="BY161" i="3" s="1"/>
  <c r="BO160" i="3"/>
  <c r="BP160" i="3" s="1"/>
  <c r="BS161" i="3"/>
  <c r="AY185" i="3"/>
  <c r="BG185" i="3"/>
  <c r="BM185" i="3"/>
  <c r="AY161" i="3"/>
  <c r="CC159" i="3"/>
  <c r="CD159" i="3" s="1"/>
  <c r="CB159" i="3"/>
  <c r="BI160" i="3"/>
  <c r="AC185" i="3"/>
  <c r="BY185" i="3" s="1"/>
  <c r="BS185" i="3"/>
  <c r="CE160" i="3"/>
  <c r="CA160" i="3"/>
  <c r="BG161" i="3"/>
  <c r="BC160" i="3"/>
  <c r="BU160" i="3"/>
  <c r="A197" i="3"/>
  <c r="Q197" i="12" s="1"/>
  <c r="A211" i="3"/>
  <c r="Q211" i="12" s="1"/>
  <c r="I186" i="3"/>
  <c r="G186" i="3" s="1"/>
  <c r="B186" i="3"/>
  <c r="AL186" i="3"/>
  <c r="K186" i="3"/>
  <c r="AS186" i="3"/>
  <c r="AU186" i="3"/>
  <c r="J186" i="3"/>
  <c r="AT186" i="3"/>
  <c r="R186" i="3"/>
  <c r="Q186" i="3"/>
  <c r="D186" i="3"/>
  <c r="L186" i="3"/>
  <c r="Z186" i="3"/>
  <c r="AB186" i="3"/>
  <c r="M186" i="3"/>
  <c r="AQ186" i="3"/>
  <c r="S186" i="3"/>
  <c r="F186" i="3"/>
  <c r="AP186" i="3"/>
  <c r="Y186" i="3"/>
  <c r="AR186" i="3"/>
  <c r="AX186" i="3"/>
  <c r="E186" i="3"/>
  <c r="N186" i="3"/>
  <c r="C186" i="3"/>
  <c r="AK186" i="3"/>
  <c r="AA186" i="3"/>
  <c r="U186" i="3"/>
  <c r="V186" i="3"/>
  <c r="W186" i="3"/>
  <c r="AD186" i="3"/>
  <c r="AN186" i="3"/>
  <c r="H186" i="3"/>
  <c r="P186" i="3"/>
  <c r="X186" i="3"/>
  <c r="T186" i="3"/>
  <c r="O186" i="3"/>
  <c r="AO186" i="3"/>
  <c r="AV186" i="3"/>
  <c r="AF186" i="3"/>
  <c r="AG186" i="3"/>
  <c r="AE186" i="3"/>
  <c r="BA186" i="3" s="1"/>
  <c r="AT210" i="3"/>
  <c r="AF210" i="3"/>
  <c r="T210" i="3"/>
  <c r="AS210" i="3"/>
  <c r="AE210" i="3"/>
  <c r="AC210" i="3" s="1"/>
  <c r="S210" i="3"/>
  <c r="E210" i="3"/>
  <c r="AR210" i="3"/>
  <c r="P210" i="3"/>
  <c r="D210" i="3"/>
  <c r="AL210" i="3"/>
  <c r="X210" i="3"/>
  <c r="L210" i="3"/>
  <c r="AK210" i="3"/>
  <c r="W210" i="3"/>
  <c r="K210" i="3"/>
  <c r="AV210" i="3"/>
  <c r="U210" i="3"/>
  <c r="H210" i="3"/>
  <c r="O210" i="3"/>
  <c r="M210" i="3"/>
  <c r="C210" i="3"/>
  <c r="AN210" i="3"/>
  <c r="AA210" i="3"/>
  <c r="AB210" i="3"/>
  <c r="AO210" i="3"/>
  <c r="F210" i="3"/>
  <c r="I210" i="3"/>
  <c r="G210" i="3" s="1"/>
  <c r="AD210" i="3"/>
  <c r="AQ210" i="3"/>
  <c r="N210" i="3"/>
  <c r="V210" i="3"/>
  <c r="Y210" i="3"/>
  <c r="Q210" i="3"/>
  <c r="B210" i="3"/>
  <c r="Z210" i="3"/>
  <c r="AU210" i="3"/>
  <c r="AG210" i="3"/>
  <c r="J210" i="3"/>
  <c r="AP210" i="3"/>
  <c r="R210" i="3"/>
  <c r="AX210" i="3"/>
  <c r="A187" i="3"/>
  <c r="Q187" i="12" s="1"/>
  <c r="L172" i="3"/>
  <c r="AG172" i="3"/>
  <c r="P172" i="3"/>
  <c r="AK172" i="3"/>
  <c r="R172" i="3"/>
  <c r="Z172" i="3"/>
  <c r="X172" i="3"/>
  <c r="Q172" i="3"/>
  <c r="J172" i="3"/>
  <c r="T172" i="3"/>
  <c r="I172" i="3"/>
  <c r="G172" i="3" s="1"/>
  <c r="AF172" i="3"/>
  <c r="AS172" i="3"/>
  <c r="V172" i="3"/>
  <c r="M172" i="3"/>
  <c r="AN172" i="3"/>
  <c r="AE172" i="3"/>
  <c r="Y172" i="3"/>
  <c r="AA172" i="3"/>
  <c r="AQ172" i="3"/>
  <c r="E172" i="3"/>
  <c r="F172" i="3"/>
  <c r="B172" i="3"/>
  <c r="AU172" i="3"/>
  <c r="AV172" i="3"/>
  <c r="AP172" i="3"/>
  <c r="W172" i="3"/>
  <c r="H172" i="3"/>
  <c r="AD172" i="3"/>
  <c r="O172" i="3"/>
  <c r="C172" i="3"/>
  <c r="S172" i="3"/>
  <c r="AR172" i="3"/>
  <c r="K172" i="3"/>
  <c r="AX172" i="3"/>
  <c r="AL172" i="3"/>
  <c r="AT172" i="3"/>
  <c r="U172" i="3"/>
  <c r="AO172" i="3"/>
  <c r="D172" i="3"/>
  <c r="N172" i="3"/>
  <c r="AB172" i="3"/>
  <c r="AD162" i="3"/>
  <c r="Q162" i="3"/>
  <c r="AB162" i="3"/>
  <c r="L162" i="3"/>
  <c r="AK162" i="3"/>
  <c r="P162" i="3"/>
  <c r="AT162" i="3"/>
  <c r="AN162" i="3"/>
  <c r="AV162" i="3"/>
  <c r="Y162" i="3"/>
  <c r="AQ162" i="3"/>
  <c r="M162" i="3"/>
  <c r="A173" i="3"/>
  <c r="Q173" i="12" s="1"/>
  <c r="V162" i="3"/>
  <c r="F162" i="3"/>
  <c r="A163" i="3"/>
  <c r="Q163" i="12" s="1"/>
  <c r="AP162" i="3"/>
  <c r="H162" i="3"/>
  <c r="C162" i="3"/>
  <c r="N162" i="3"/>
  <c r="AR162" i="3"/>
  <c r="K162" i="3"/>
  <c r="S162" i="3"/>
  <c r="AU162" i="3"/>
  <c r="AE162" i="3"/>
  <c r="W162" i="3"/>
  <c r="AO162" i="3"/>
  <c r="AG162" i="3"/>
  <c r="X162" i="3"/>
  <c r="AX162" i="3"/>
  <c r="Z162" i="3"/>
  <c r="D162" i="3"/>
  <c r="E162" i="3"/>
  <c r="J162" i="3"/>
  <c r="AL162" i="3"/>
  <c r="I162" i="3"/>
  <c r="G162" i="3" s="1"/>
  <c r="U162" i="3"/>
  <c r="T162" i="3"/>
  <c r="R162" i="3"/>
  <c r="AS162" i="3"/>
  <c r="AA162" i="3"/>
  <c r="O162" i="3"/>
  <c r="B162" i="3"/>
  <c r="AF162" i="3"/>
  <c r="BA162" i="3" l="1"/>
  <c r="BA172" i="3"/>
  <c r="BZ186" i="3"/>
  <c r="BT172" i="3"/>
  <c r="BN210" i="3"/>
  <c r="BT162" i="3"/>
  <c r="BN186" i="3"/>
  <c r="BB172" i="3"/>
  <c r="BZ210" i="3"/>
  <c r="BN162" i="3"/>
  <c r="BT210" i="3"/>
  <c r="BB186" i="3"/>
  <c r="BH172" i="3"/>
  <c r="BB210" i="3"/>
  <c r="BB162" i="3"/>
  <c r="BZ172" i="3"/>
  <c r="BH186" i="3"/>
  <c r="BN172" i="3"/>
  <c r="BH210" i="3"/>
  <c r="BH162" i="3"/>
  <c r="BT186" i="3"/>
  <c r="BZ162" i="3"/>
  <c r="BA210" i="3"/>
  <c r="AW163" i="3"/>
  <c r="AM163" i="3" s="1"/>
  <c r="AW173" i="3"/>
  <c r="BZ173" i="3" s="1"/>
  <c r="AW187" i="3"/>
  <c r="BZ187" i="3" s="1"/>
  <c r="AW211" i="3"/>
  <c r="AM211" i="3" s="1"/>
  <c r="AW197" i="3"/>
  <c r="BZ197" i="3" s="1"/>
  <c r="BI161" i="3"/>
  <c r="BK161" i="3" s="1"/>
  <c r="BL161" i="3" s="1"/>
  <c r="BC185" i="3"/>
  <c r="BO161" i="3"/>
  <c r="BQ161" i="3" s="1"/>
  <c r="BR161" i="3" s="1"/>
  <c r="AH172" i="3"/>
  <c r="AI172" i="3" s="1"/>
  <c r="AH186" i="3"/>
  <c r="AI186" i="3" s="1"/>
  <c r="AH162" i="3"/>
  <c r="AI162" i="3" s="1"/>
  <c r="BQ160" i="3"/>
  <c r="BR160" i="3" s="1"/>
  <c r="BG210" i="3"/>
  <c r="BO185" i="3"/>
  <c r="BP185" i="3" s="1"/>
  <c r="BG162" i="3"/>
  <c r="BS210" i="3"/>
  <c r="BS186" i="3"/>
  <c r="AY210" i="3"/>
  <c r="CE210" i="3" s="1"/>
  <c r="BS172" i="3"/>
  <c r="BS162" i="3"/>
  <c r="BU162" i="3" s="1"/>
  <c r="BY210" i="3"/>
  <c r="CB160" i="3"/>
  <c r="CC160" i="3"/>
  <c r="CD160" i="3" s="1"/>
  <c r="AC162" i="3"/>
  <c r="BY162" i="3" s="1"/>
  <c r="BJ161" i="3"/>
  <c r="BG186" i="3"/>
  <c r="BK160" i="3"/>
  <c r="BL160" i="3" s="1"/>
  <c r="BJ160" i="3"/>
  <c r="BM210" i="3"/>
  <c r="AY186" i="3"/>
  <c r="BM186" i="3"/>
  <c r="BQ185" i="3"/>
  <c r="BR185" i="3" s="1"/>
  <c r="BI162" i="3"/>
  <c r="BG172" i="3"/>
  <c r="AY172" i="3"/>
  <c r="CF160" i="3"/>
  <c r="CG160" i="3"/>
  <c r="BD185" i="3"/>
  <c r="BE185" i="3"/>
  <c r="BF185" i="3" s="1"/>
  <c r="BM162" i="3"/>
  <c r="BM172" i="3"/>
  <c r="BV160" i="3"/>
  <c r="BW160" i="3"/>
  <c r="BX160" i="3" s="1"/>
  <c r="CE161" i="3"/>
  <c r="CA161" i="3"/>
  <c r="BI185" i="3"/>
  <c r="AC172" i="3"/>
  <c r="BY172" i="3" s="1"/>
  <c r="BU172" i="3"/>
  <c r="AC186" i="3"/>
  <c r="BY186" i="3" s="1"/>
  <c r="BE160" i="3"/>
  <c r="BF160" i="3" s="1"/>
  <c r="BD160" i="3"/>
  <c r="BU185" i="3"/>
  <c r="CE185" i="3"/>
  <c r="CA185" i="3"/>
  <c r="AY162" i="3"/>
  <c r="BC161" i="3"/>
  <c r="BU161" i="3"/>
  <c r="A198" i="3"/>
  <c r="Q198" i="12" s="1"/>
  <c r="A212" i="3"/>
  <c r="Q212" i="12" s="1"/>
  <c r="AL187" i="3"/>
  <c r="U187" i="3"/>
  <c r="E187" i="3"/>
  <c r="AK187" i="3"/>
  <c r="T187" i="3"/>
  <c r="D187" i="3"/>
  <c r="AU187" i="3"/>
  <c r="AD187" i="3"/>
  <c r="N187" i="3"/>
  <c r="AS187" i="3"/>
  <c r="AB187" i="3"/>
  <c r="L187" i="3"/>
  <c r="F187" i="3"/>
  <c r="AF187" i="3"/>
  <c r="AO187" i="3"/>
  <c r="X187" i="3"/>
  <c r="AT187" i="3"/>
  <c r="H187" i="3"/>
  <c r="V187" i="3"/>
  <c r="P187" i="3"/>
  <c r="M187" i="3"/>
  <c r="R187" i="3"/>
  <c r="AA187" i="3"/>
  <c r="Z187" i="3"/>
  <c r="AQ187" i="3"/>
  <c r="AR187" i="3"/>
  <c r="O187" i="3"/>
  <c r="Q187" i="3"/>
  <c r="I187" i="3"/>
  <c r="G187" i="3" s="1"/>
  <c r="W187" i="3"/>
  <c r="AP187" i="3"/>
  <c r="AG187" i="3"/>
  <c r="AE187" i="3"/>
  <c r="BN187" i="3" s="1"/>
  <c r="AX187" i="3"/>
  <c r="C187" i="3"/>
  <c r="AN187" i="3"/>
  <c r="AV187" i="3"/>
  <c r="B187" i="3"/>
  <c r="K187" i="3"/>
  <c r="J187" i="3"/>
  <c r="S187" i="3"/>
  <c r="Y187" i="3"/>
  <c r="A188" i="3"/>
  <c r="Q188" i="12" s="1"/>
  <c r="C211" i="3"/>
  <c r="AN211" i="3"/>
  <c r="AQ211" i="3"/>
  <c r="AD211" i="3"/>
  <c r="Z211" i="3"/>
  <c r="AG211" i="3"/>
  <c r="AT211" i="3"/>
  <c r="D211" i="3"/>
  <c r="AE211" i="3"/>
  <c r="AC211" i="3" s="1"/>
  <c r="AF211" i="3"/>
  <c r="T211" i="3"/>
  <c r="P211" i="3"/>
  <c r="N211" i="3"/>
  <c r="AB211" i="3"/>
  <c r="R211" i="3"/>
  <c r="W211" i="3"/>
  <c r="U211" i="3"/>
  <c r="I211" i="3"/>
  <c r="G211" i="3" s="1"/>
  <c r="E211" i="3"/>
  <c r="L211" i="3"/>
  <c r="AO211" i="3"/>
  <c r="B211" i="3"/>
  <c r="AR211" i="3"/>
  <c r="O211" i="3"/>
  <c r="J211" i="3"/>
  <c r="AU211" i="3"/>
  <c r="X211" i="3"/>
  <c r="F211" i="3"/>
  <c r="AK211" i="3"/>
  <c r="AA211" i="3"/>
  <c r="Q211" i="3"/>
  <c r="M211" i="3"/>
  <c r="AS211" i="3"/>
  <c r="S211" i="3"/>
  <c r="Y211" i="3"/>
  <c r="H211" i="3"/>
  <c r="K211" i="3"/>
  <c r="V211" i="3"/>
  <c r="AV211" i="3"/>
  <c r="AP211" i="3"/>
  <c r="AL211" i="3"/>
  <c r="AX211" i="3"/>
  <c r="AK197" i="3"/>
  <c r="Q197" i="3"/>
  <c r="AG197" i="3"/>
  <c r="P197" i="3"/>
  <c r="AX197" i="3"/>
  <c r="L197" i="3"/>
  <c r="AB197" i="3"/>
  <c r="J197" i="3"/>
  <c r="AQ197" i="3"/>
  <c r="X197" i="3"/>
  <c r="H197" i="3"/>
  <c r="D197" i="3"/>
  <c r="I197" i="3"/>
  <c r="G197" i="3" s="1"/>
  <c r="AT197" i="3"/>
  <c r="B197" i="3"/>
  <c r="AP197" i="3"/>
  <c r="AL197" i="3"/>
  <c r="Y197" i="3"/>
  <c r="U197" i="3"/>
  <c r="T197" i="3"/>
  <c r="AV197" i="3"/>
  <c r="K197" i="3"/>
  <c r="AN197" i="3"/>
  <c r="C197" i="3"/>
  <c r="AE197" i="3"/>
  <c r="AC197" i="3" s="1"/>
  <c r="AU197" i="3"/>
  <c r="M197" i="3"/>
  <c r="A222" i="3"/>
  <c r="Q222" i="12" s="1"/>
  <c r="W197" i="3"/>
  <c r="AD197" i="3"/>
  <c r="Z197" i="3"/>
  <c r="N197" i="3"/>
  <c r="R197" i="3"/>
  <c r="F197" i="3"/>
  <c r="E197" i="3"/>
  <c r="AR197" i="3"/>
  <c r="AF197" i="3"/>
  <c r="AA197" i="3"/>
  <c r="AS197" i="3"/>
  <c r="O197" i="3"/>
  <c r="S197" i="3"/>
  <c r="AO197" i="3"/>
  <c r="V197" i="3"/>
  <c r="S173" i="3"/>
  <c r="AG173" i="3"/>
  <c r="K173" i="3"/>
  <c r="F173" i="3"/>
  <c r="AB173" i="3"/>
  <c r="AX173" i="3"/>
  <c r="I173" i="3"/>
  <c r="G173" i="3" s="1"/>
  <c r="AV173" i="3"/>
  <c r="AK173" i="3"/>
  <c r="AS173" i="3"/>
  <c r="AQ173" i="3"/>
  <c r="M173" i="3"/>
  <c r="V173" i="3"/>
  <c r="Y173" i="3"/>
  <c r="AP173" i="3"/>
  <c r="AU173" i="3"/>
  <c r="P173" i="3"/>
  <c r="O173" i="3"/>
  <c r="R173" i="3"/>
  <c r="U173" i="3"/>
  <c r="AF173" i="3"/>
  <c r="X173" i="3"/>
  <c r="B173" i="3"/>
  <c r="Q173" i="3"/>
  <c r="Z173" i="3"/>
  <c r="AO173" i="3"/>
  <c r="AD173" i="3"/>
  <c r="W173" i="3"/>
  <c r="L173" i="3"/>
  <c r="AE173" i="3"/>
  <c r="BB173" i="3" s="1"/>
  <c r="E173" i="3"/>
  <c r="T173" i="3"/>
  <c r="D173" i="3"/>
  <c r="AA173" i="3"/>
  <c r="AL173" i="3"/>
  <c r="N173" i="3"/>
  <c r="H173" i="3"/>
  <c r="AT173" i="3"/>
  <c r="C173" i="3"/>
  <c r="AR173" i="3"/>
  <c r="AN173" i="3"/>
  <c r="J173" i="3"/>
  <c r="Z163" i="3"/>
  <c r="AA163" i="3"/>
  <c r="AV163" i="3"/>
  <c r="AT163" i="3"/>
  <c r="P163" i="3"/>
  <c r="AO163" i="3"/>
  <c r="AX163" i="3"/>
  <c r="A164" i="3"/>
  <c r="Q164" i="12" s="1"/>
  <c r="AF163" i="3"/>
  <c r="N163" i="3"/>
  <c r="O163" i="3"/>
  <c r="V163" i="3"/>
  <c r="M163" i="3"/>
  <c r="Q163" i="3"/>
  <c r="T163" i="3"/>
  <c r="Y163" i="3"/>
  <c r="E163" i="3"/>
  <c r="L163" i="3"/>
  <c r="AS163" i="3"/>
  <c r="H163" i="3"/>
  <c r="AQ163" i="3"/>
  <c r="AL163" i="3"/>
  <c r="S163" i="3"/>
  <c r="C163" i="3"/>
  <c r="AU163" i="3"/>
  <c r="AP163" i="3"/>
  <c r="AK163" i="3"/>
  <c r="U163" i="3"/>
  <c r="AE163" i="3"/>
  <c r="AC163" i="3" s="1"/>
  <c r="AD163" i="3"/>
  <c r="A174" i="3"/>
  <c r="Q174" i="12" s="1"/>
  <c r="B163" i="3"/>
  <c r="I163" i="3"/>
  <c r="G163" i="3" s="1"/>
  <c r="AR163" i="3"/>
  <c r="AB163" i="3"/>
  <c r="X163" i="3"/>
  <c r="K163" i="3"/>
  <c r="R163" i="3"/>
  <c r="AG163" i="3"/>
  <c r="F163" i="3"/>
  <c r="AN163" i="3"/>
  <c r="D163" i="3"/>
  <c r="J163" i="3"/>
  <c r="W163" i="3"/>
  <c r="AM197" i="3" l="1"/>
  <c r="AM187" i="3"/>
  <c r="AM173" i="3"/>
  <c r="BH173" i="3"/>
  <c r="BN211" i="3"/>
  <c r="BH187" i="3"/>
  <c r="BN163" i="3"/>
  <c r="BN197" i="3"/>
  <c r="BB211" i="3"/>
  <c r="BB187" i="3"/>
  <c r="BC187" i="3" s="1"/>
  <c r="BN173" i="3"/>
  <c r="BB163" i="3"/>
  <c r="BA197" i="3"/>
  <c r="BA187" i="3"/>
  <c r="BA173" i="3"/>
  <c r="BC173" i="3" s="1"/>
  <c r="BD173" i="3" s="1"/>
  <c r="BA211" i="3"/>
  <c r="BA163" i="3"/>
  <c r="BT197" i="3"/>
  <c r="BZ211" i="3"/>
  <c r="BT173" i="3"/>
  <c r="BZ163" i="3"/>
  <c r="BP161" i="3"/>
  <c r="BH211" i="3"/>
  <c r="BT187" i="3"/>
  <c r="BH163" i="3"/>
  <c r="BH197" i="3"/>
  <c r="BI197" i="3" s="1"/>
  <c r="BB197" i="3"/>
  <c r="BT211" i="3"/>
  <c r="BT163" i="3"/>
  <c r="AW174" i="3"/>
  <c r="AM174" i="3" s="1"/>
  <c r="AW222" i="3"/>
  <c r="AM222" i="3" s="1"/>
  <c r="AW188" i="3"/>
  <c r="AM188" i="3" s="1"/>
  <c r="AW212" i="3"/>
  <c r="AM212" i="3" s="1"/>
  <c r="AW198" i="3"/>
  <c r="BZ198" i="3" s="1"/>
  <c r="AW164" i="3"/>
  <c r="AM164" i="3" s="1"/>
  <c r="BO162" i="3"/>
  <c r="BI210" i="3"/>
  <c r="BJ210" i="3" s="1"/>
  <c r="BO210" i="3"/>
  <c r="BP210" i="3" s="1"/>
  <c r="BU210" i="3"/>
  <c r="BV210" i="3" s="1"/>
  <c r="BU186" i="3"/>
  <c r="AH187" i="3"/>
  <c r="AI187" i="3" s="1"/>
  <c r="AH173" i="3"/>
  <c r="AI173" i="3" s="1"/>
  <c r="AH163" i="3"/>
  <c r="AI163" i="3" s="1"/>
  <c r="AH197" i="3"/>
  <c r="AI197" i="3" s="1"/>
  <c r="AH209" i="3"/>
  <c r="BG163" i="3"/>
  <c r="BI186" i="3"/>
  <c r="BK186" i="3" s="1"/>
  <c r="BL186" i="3" s="1"/>
  <c r="BO186" i="3"/>
  <c r="BQ186" i="3" s="1"/>
  <c r="BR186" i="3" s="1"/>
  <c r="BC172" i="3"/>
  <c r="BD172" i="3" s="1"/>
  <c r="BY163" i="3"/>
  <c r="AC173" i="3"/>
  <c r="BY173" i="3" s="1"/>
  <c r="BY197" i="3"/>
  <c r="AY197" i="3"/>
  <c r="CE197" i="3" s="1"/>
  <c r="CA210" i="3"/>
  <c r="BC210" i="3"/>
  <c r="BY211" i="3"/>
  <c r="BC211" i="3"/>
  <c r="BG211" i="3"/>
  <c r="BS163" i="3"/>
  <c r="BS197" i="3"/>
  <c r="BG197" i="3"/>
  <c r="BM163" i="3"/>
  <c r="AY187" i="3"/>
  <c r="BI172" i="3"/>
  <c r="BK172" i="3" s="1"/>
  <c r="BL172" i="3" s="1"/>
  <c r="BV172" i="3"/>
  <c r="BW172" i="3"/>
  <c r="BX172" i="3" s="1"/>
  <c r="BW162" i="3"/>
  <c r="BX162" i="3" s="1"/>
  <c r="BV162" i="3"/>
  <c r="BK162" i="3"/>
  <c r="BL162" i="3" s="1"/>
  <c r="BJ162" i="3"/>
  <c r="CA197" i="3"/>
  <c r="BW186" i="3"/>
  <c r="BX186" i="3" s="1"/>
  <c r="BV186" i="3"/>
  <c r="CF210" i="3"/>
  <c r="BW185" i="3"/>
  <c r="BX185" i="3" s="1"/>
  <c r="BV185" i="3"/>
  <c r="BK185" i="3"/>
  <c r="BL185" i="3" s="1"/>
  <c r="BJ185" i="3"/>
  <c r="CA172" i="3"/>
  <c r="CE172" i="3"/>
  <c r="CF185" i="3"/>
  <c r="CG185" i="3"/>
  <c r="BM173" i="3"/>
  <c r="AY173" i="3"/>
  <c r="BM187" i="3"/>
  <c r="AC187" i="3"/>
  <c r="BY187" i="3" s="1"/>
  <c r="BW161" i="3"/>
  <c r="BX161" i="3" s="1"/>
  <c r="BV161" i="3"/>
  <c r="CC161" i="3"/>
  <c r="CD161" i="3" s="1"/>
  <c r="CB161" i="3"/>
  <c r="CA186" i="3"/>
  <c r="CE186" i="3"/>
  <c r="BD161" i="3"/>
  <c r="BE161" i="3"/>
  <c r="BF161" i="3" s="1"/>
  <c r="CG161" i="3"/>
  <c r="CF161" i="3"/>
  <c r="CC185" i="3"/>
  <c r="CD185" i="3" s="1"/>
  <c r="CB185" i="3"/>
  <c r="BG173" i="3"/>
  <c r="AY211" i="3"/>
  <c r="BS187" i="3"/>
  <c r="CE162" i="3"/>
  <c r="CA162" i="3"/>
  <c r="BS173" i="3"/>
  <c r="AY163" i="3"/>
  <c r="BM197" i="3"/>
  <c r="BM211" i="3"/>
  <c r="BS211" i="3"/>
  <c r="BO172" i="3"/>
  <c r="BC186" i="3"/>
  <c r="BG187" i="3"/>
  <c r="BP162" i="3"/>
  <c r="BQ162" i="3"/>
  <c r="BR162" i="3" s="1"/>
  <c r="BC162" i="3"/>
  <c r="A213" i="3"/>
  <c r="Q213" i="12" s="1"/>
  <c r="C188" i="3"/>
  <c r="AR188" i="3"/>
  <c r="AA188" i="3"/>
  <c r="S188" i="3"/>
  <c r="K188" i="3"/>
  <c r="AK188" i="3"/>
  <c r="M188" i="3"/>
  <c r="AL188" i="3"/>
  <c r="AU188" i="3"/>
  <c r="H188" i="3"/>
  <c r="AS188" i="3"/>
  <c r="AT188" i="3"/>
  <c r="AD188" i="3"/>
  <c r="O188" i="3"/>
  <c r="P188" i="3"/>
  <c r="W188" i="3"/>
  <c r="X188" i="3"/>
  <c r="Q188" i="3"/>
  <c r="AE188" i="3"/>
  <c r="AC188" i="3" s="1"/>
  <c r="AF188" i="3"/>
  <c r="D188" i="3"/>
  <c r="AN188" i="3"/>
  <c r="U188" i="3"/>
  <c r="AO188" i="3"/>
  <c r="AG188" i="3"/>
  <c r="L188" i="3"/>
  <c r="AV188" i="3"/>
  <c r="AP188" i="3"/>
  <c r="T188" i="3"/>
  <c r="V188" i="3"/>
  <c r="AB188" i="3"/>
  <c r="N188" i="3"/>
  <c r="E188" i="3"/>
  <c r="I188" i="3"/>
  <c r="G188" i="3" s="1"/>
  <c r="Y188" i="3"/>
  <c r="B188" i="3"/>
  <c r="F188" i="3"/>
  <c r="R188" i="3"/>
  <c r="AX188" i="3"/>
  <c r="J188" i="3"/>
  <c r="Z188" i="3"/>
  <c r="AQ188" i="3"/>
  <c r="A199" i="3"/>
  <c r="Q199" i="12" s="1"/>
  <c r="A189" i="3"/>
  <c r="Q189" i="12" s="1"/>
  <c r="P222" i="3"/>
  <c r="AE222" i="3"/>
  <c r="AC222" i="3" s="1"/>
  <c r="AS222" i="3"/>
  <c r="AX222" i="3"/>
  <c r="AD222" i="3"/>
  <c r="Q222" i="3"/>
  <c r="B222" i="3"/>
  <c r="U222" i="3"/>
  <c r="Z222" i="3"/>
  <c r="H222" i="3"/>
  <c r="W222" i="3"/>
  <c r="AK222" i="3"/>
  <c r="R222" i="3"/>
  <c r="C222" i="3"/>
  <c r="O222" i="3"/>
  <c r="AB222" i="3"/>
  <c r="V222" i="3"/>
  <c r="E222" i="3"/>
  <c r="S222" i="3"/>
  <c r="M222" i="3"/>
  <c r="L222" i="3"/>
  <c r="AL222" i="3"/>
  <c r="F222" i="3"/>
  <c r="AO222" i="3"/>
  <c r="D222" i="3"/>
  <c r="AP222" i="3"/>
  <c r="Y222" i="3"/>
  <c r="AU222" i="3"/>
  <c r="AT222" i="3"/>
  <c r="AF222" i="3"/>
  <c r="T222" i="3"/>
  <c r="AG222" i="3"/>
  <c r="AV222" i="3"/>
  <c r="N222" i="3"/>
  <c r="X222" i="3"/>
  <c r="J222" i="3"/>
  <c r="AQ222" i="3"/>
  <c r="AA222" i="3"/>
  <c r="I222" i="3"/>
  <c r="G222" i="3" s="1"/>
  <c r="AN222" i="3"/>
  <c r="AR222" i="3"/>
  <c r="K222" i="3"/>
  <c r="AO212" i="3"/>
  <c r="D212" i="3"/>
  <c r="F212" i="3"/>
  <c r="U212" i="3"/>
  <c r="AA212" i="3"/>
  <c r="AF212" i="3"/>
  <c r="AV212" i="3"/>
  <c r="I212" i="3"/>
  <c r="G212" i="3" s="1"/>
  <c r="X212" i="3"/>
  <c r="AN212" i="3"/>
  <c r="AL212" i="3"/>
  <c r="AT212" i="3"/>
  <c r="M212" i="3"/>
  <c r="P212" i="3"/>
  <c r="AE212" i="3"/>
  <c r="AC212" i="3" s="1"/>
  <c r="AS212" i="3"/>
  <c r="AQ212" i="3"/>
  <c r="Y212" i="3"/>
  <c r="V212" i="3"/>
  <c r="S212" i="3"/>
  <c r="H212" i="3"/>
  <c r="W212" i="3"/>
  <c r="AK212" i="3"/>
  <c r="AR212" i="3"/>
  <c r="K212" i="3"/>
  <c r="B212" i="3"/>
  <c r="O212" i="3"/>
  <c r="AB212" i="3"/>
  <c r="AD212" i="3"/>
  <c r="Q212" i="3"/>
  <c r="AG212" i="3"/>
  <c r="Z212" i="3"/>
  <c r="T212" i="3"/>
  <c r="L212" i="3"/>
  <c r="AP212" i="3"/>
  <c r="R212" i="3"/>
  <c r="E212" i="3"/>
  <c r="N212" i="3"/>
  <c r="C212" i="3"/>
  <c r="J212" i="3"/>
  <c r="AU212" i="3"/>
  <c r="AX212" i="3"/>
  <c r="AQ198" i="3"/>
  <c r="R198" i="3"/>
  <c r="AL198" i="3"/>
  <c r="O198" i="3"/>
  <c r="AV198" i="3"/>
  <c r="W198" i="3"/>
  <c r="AE198" i="3"/>
  <c r="E198" i="3"/>
  <c r="AD198" i="3"/>
  <c r="B198" i="3"/>
  <c r="V198" i="3"/>
  <c r="AX198" i="3"/>
  <c r="J198" i="3"/>
  <c r="Q198" i="3"/>
  <c r="I198" i="3"/>
  <c r="G198" i="3" s="1"/>
  <c r="F198" i="3"/>
  <c r="AP198" i="3"/>
  <c r="AT198" i="3"/>
  <c r="AS198" i="3"/>
  <c r="C198" i="3"/>
  <c r="X198" i="3"/>
  <c r="U198" i="3"/>
  <c r="AK198" i="3"/>
  <c r="P198" i="3"/>
  <c r="AG198" i="3"/>
  <c r="AB198" i="3"/>
  <c r="H198" i="3"/>
  <c r="AU198" i="3"/>
  <c r="M198" i="3"/>
  <c r="A223" i="3"/>
  <c r="Q223" i="12" s="1"/>
  <c r="T198" i="3"/>
  <c r="AR198" i="3"/>
  <c r="N198" i="3"/>
  <c r="D198" i="3"/>
  <c r="AA198" i="3"/>
  <c r="AN198" i="3"/>
  <c r="S198" i="3"/>
  <c r="K198" i="3"/>
  <c r="Y198" i="3"/>
  <c r="L198" i="3"/>
  <c r="AF198" i="3"/>
  <c r="Z198" i="3"/>
  <c r="AO198" i="3"/>
  <c r="AU174" i="3"/>
  <c r="AQ174" i="3"/>
  <c r="AT174" i="3"/>
  <c r="B174" i="3"/>
  <c r="E174" i="3"/>
  <c r="F174" i="3"/>
  <c r="P174" i="3"/>
  <c r="AO174" i="3"/>
  <c r="C174" i="3"/>
  <c r="X174" i="3"/>
  <c r="H174" i="3"/>
  <c r="AS174" i="3"/>
  <c r="AF174" i="3"/>
  <c r="V174" i="3"/>
  <c r="AE174" i="3"/>
  <c r="AC174" i="3" s="1"/>
  <c r="AA174" i="3"/>
  <c r="AR174" i="3"/>
  <c r="M174" i="3"/>
  <c r="AK174" i="3"/>
  <c r="I174" i="3"/>
  <c r="G174" i="3" s="1"/>
  <c r="AV174" i="3"/>
  <c r="Z174" i="3"/>
  <c r="AN174" i="3"/>
  <c r="L174" i="3"/>
  <c r="AG174" i="3"/>
  <c r="AP174" i="3"/>
  <c r="AX174" i="3"/>
  <c r="D174" i="3"/>
  <c r="Y174" i="3"/>
  <c r="W174" i="3"/>
  <c r="Q174" i="3"/>
  <c r="AL174" i="3"/>
  <c r="S174" i="3"/>
  <c r="O174" i="3"/>
  <c r="AD174" i="3"/>
  <c r="T174" i="3"/>
  <c r="N174" i="3"/>
  <c r="U174" i="3"/>
  <c r="K174" i="3"/>
  <c r="R174" i="3"/>
  <c r="J174" i="3"/>
  <c r="AB174" i="3"/>
  <c r="AP164" i="3"/>
  <c r="AR164" i="3"/>
  <c r="Y164" i="3"/>
  <c r="AK164" i="3"/>
  <c r="V164" i="3"/>
  <c r="AE164" i="3"/>
  <c r="BH164" i="3" s="1"/>
  <c r="AO164" i="3"/>
  <c r="D164" i="3"/>
  <c r="W164" i="3"/>
  <c r="AX164" i="3"/>
  <c r="T164" i="3"/>
  <c r="R164" i="3"/>
  <c r="E164" i="3"/>
  <c r="AU164" i="3"/>
  <c r="AB164" i="3"/>
  <c r="AV164" i="3"/>
  <c r="H164" i="3"/>
  <c r="Q164" i="3"/>
  <c r="M164" i="3"/>
  <c r="A175" i="3"/>
  <c r="Q175" i="12" s="1"/>
  <c r="A165" i="3"/>
  <c r="Q165" i="12" s="1"/>
  <c r="AA164" i="3"/>
  <c r="F164" i="3"/>
  <c r="B164" i="3"/>
  <c r="O164" i="3"/>
  <c r="J164" i="3"/>
  <c r="S164" i="3"/>
  <c r="P164" i="3"/>
  <c r="Z164" i="3"/>
  <c r="AL164" i="3"/>
  <c r="C164" i="3"/>
  <c r="AG164" i="3"/>
  <c r="N164" i="3"/>
  <c r="I164" i="3"/>
  <c r="G164" i="3" s="1"/>
  <c r="AQ164" i="3"/>
  <c r="U164" i="3"/>
  <c r="AD164" i="3"/>
  <c r="AT164" i="3"/>
  <c r="X164" i="3"/>
  <c r="L164" i="3"/>
  <c r="K164" i="3"/>
  <c r="AN164" i="3"/>
  <c r="AS164" i="3"/>
  <c r="AF164" i="3"/>
  <c r="BC197" i="3" l="1"/>
  <c r="BN198" i="3"/>
  <c r="BU197" i="3"/>
  <c r="BV197" i="3" s="1"/>
  <c r="BH198" i="3"/>
  <c r="AM198" i="3"/>
  <c r="BN222" i="3"/>
  <c r="BN212" i="3"/>
  <c r="BN174" i="3"/>
  <c r="BJ186" i="3"/>
  <c r="BN164" i="3"/>
  <c r="BN188" i="3"/>
  <c r="BA164" i="3"/>
  <c r="BA198" i="3"/>
  <c r="BA212" i="3"/>
  <c r="BA188" i="3"/>
  <c r="BA222" i="3"/>
  <c r="BC222" i="3" s="1"/>
  <c r="BA174" i="3"/>
  <c r="BT164" i="3"/>
  <c r="BB212" i="3"/>
  <c r="BT188" i="3"/>
  <c r="BT222" i="3"/>
  <c r="BT174" i="3"/>
  <c r="BB164" i="3"/>
  <c r="BC164" i="3" s="1"/>
  <c r="BT198" i="3"/>
  <c r="BT212" i="3"/>
  <c r="BZ188" i="3"/>
  <c r="BZ222" i="3"/>
  <c r="BZ174" i="3"/>
  <c r="BZ164" i="3"/>
  <c r="BB198" i="3"/>
  <c r="BZ212" i="3"/>
  <c r="BB188" i="3"/>
  <c r="BB222" i="3"/>
  <c r="BB174" i="3"/>
  <c r="BC174" i="3" s="1"/>
  <c r="BH212" i="3"/>
  <c r="BH188" i="3"/>
  <c r="BH222" i="3"/>
  <c r="BH174" i="3"/>
  <c r="AW165" i="3"/>
  <c r="BZ165" i="3" s="1"/>
  <c r="AW175" i="3"/>
  <c r="BZ175" i="3" s="1"/>
  <c r="AW189" i="3"/>
  <c r="BZ189" i="3" s="1"/>
  <c r="AW199" i="3"/>
  <c r="AM199" i="3" s="1"/>
  <c r="AW223" i="3"/>
  <c r="BZ223" i="3" s="1"/>
  <c r="AW213" i="3"/>
  <c r="BZ213" i="3" s="1"/>
  <c r="BU187" i="3"/>
  <c r="BO211" i="3"/>
  <c r="BP211" i="3" s="1"/>
  <c r="BI163" i="3"/>
  <c r="BJ163" i="3" s="1"/>
  <c r="CE187" i="3"/>
  <c r="CF187" i="3" s="1"/>
  <c r="AH188" i="3"/>
  <c r="AI188" i="3" s="1"/>
  <c r="AH174" i="3"/>
  <c r="AI174" i="3" s="1"/>
  <c r="AH198" i="3"/>
  <c r="AI198" i="3" s="1"/>
  <c r="AH164" i="3"/>
  <c r="BJ172" i="3"/>
  <c r="BI187" i="3"/>
  <c r="BJ187" i="3" s="1"/>
  <c r="BC163" i="3"/>
  <c r="BE163" i="3" s="1"/>
  <c r="BF163" i="3" s="1"/>
  <c r="BI211" i="3"/>
  <c r="BJ211" i="3" s="1"/>
  <c r="CB210" i="3"/>
  <c r="AH211" i="3"/>
  <c r="AI211" i="3" s="1"/>
  <c r="BE172" i="3"/>
  <c r="BF172" i="3" s="1"/>
  <c r="BP186" i="3"/>
  <c r="AI209" i="3"/>
  <c r="BE209" i="3"/>
  <c r="BF209" i="3" s="1"/>
  <c r="BK209" i="3"/>
  <c r="BL209" i="3" s="1"/>
  <c r="BW209" i="3"/>
  <c r="BX209" i="3" s="1"/>
  <c r="CC209" i="3"/>
  <c r="CD209" i="3" s="1"/>
  <c r="BQ209" i="3"/>
  <c r="BR209" i="3" s="1"/>
  <c r="CG209" i="3"/>
  <c r="AH210" i="3"/>
  <c r="BE210" i="3" s="1"/>
  <c r="BF210" i="3" s="1"/>
  <c r="BY188" i="3"/>
  <c r="BY212" i="3"/>
  <c r="BS222" i="3"/>
  <c r="BE173" i="3"/>
  <c r="BF173" i="3" s="1"/>
  <c r="BO163" i="3"/>
  <c r="BY222" i="3"/>
  <c r="BG222" i="3"/>
  <c r="BU211" i="3"/>
  <c r="BG198" i="3"/>
  <c r="BW197" i="3"/>
  <c r="BX197" i="3" s="1"/>
  <c r="BD210" i="3"/>
  <c r="BD211" i="3"/>
  <c r="BY174" i="3"/>
  <c r="AC198" i="3"/>
  <c r="BY198" i="3" s="1"/>
  <c r="BS198" i="3"/>
  <c r="BS212" i="3"/>
  <c r="AC164" i="3"/>
  <c r="BY164" i="3" s="1"/>
  <c r="BU163" i="3"/>
  <c r="AY188" i="3"/>
  <c r="CE188" i="3" s="1"/>
  <c r="CF188" i="3" s="1"/>
  <c r="BO197" i="3"/>
  <c r="BQ197" i="3" s="1"/>
  <c r="BR197" i="3" s="1"/>
  <c r="BM222" i="3"/>
  <c r="BG164" i="3"/>
  <c r="BM164" i="3"/>
  <c r="BM198" i="3"/>
  <c r="AY198" i="3"/>
  <c r="BM212" i="3"/>
  <c r="BG188" i="3"/>
  <c r="BS164" i="3"/>
  <c r="AY174" i="3"/>
  <c r="CE174" i="3" s="1"/>
  <c r="CB162" i="3"/>
  <c r="CC162" i="3"/>
  <c r="CD162" i="3" s="1"/>
  <c r="CB172" i="3"/>
  <c r="CC172" i="3"/>
  <c r="CD172" i="3" s="1"/>
  <c r="BJ197" i="3"/>
  <c r="BK197" i="3"/>
  <c r="BL197" i="3" s="1"/>
  <c r="BG174" i="3"/>
  <c r="AY222" i="3"/>
  <c r="BE187" i="3"/>
  <c r="BF187" i="3" s="1"/>
  <c r="BD187" i="3"/>
  <c r="CG162" i="3"/>
  <c r="CF162" i="3"/>
  <c r="BS188" i="3"/>
  <c r="CG187" i="3"/>
  <c r="CG197" i="3"/>
  <c r="CF197" i="3"/>
  <c r="CB197" i="3"/>
  <c r="CC197" i="3"/>
  <c r="CD197" i="3" s="1"/>
  <c r="BM188" i="3"/>
  <c r="BK187" i="3"/>
  <c r="BL187" i="3" s="1"/>
  <c r="CE211" i="3"/>
  <c r="CA211" i="3"/>
  <c r="BO187" i="3"/>
  <c r="BG212" i="3"/>
  <c r="BE186" i="3"/>
  <c r="BF186" i="3" s="1"/>
  <c r="BD186" i="3"/>
  <c r="CA163" i="3"/>
  <c r="CE163" i="3"/>
  <c r="CF186" i="3"/>
  <c r="CG186" i="3"/>
  <c r="BD197" i="3"/>
  <c r="BE197" i="3"/>
  <c r="BF197" i="3" s="1"/>
  <c r="BW187" i="3"/>
  <c r="BX187" i="3" s="1"/>
  <c r="BV187" i="3"/>
  <c r="BM174" i="3"/>
  <c r="BQ172" i="3"/>
  <c r="BR172" i="3" s="1"/>
  <c r="BP172" i="3"/>
  <c r="BU173" i="3"/>
  <c r="BI173" i="3"/>
  <c r="CA173" i="3"/>
  <c r="CE173" i="3"/>
  <c r="BS174" i="3"/>
  <c r="BU174" i="3" s="1"/>
  <c r="CB186" i="3"/>
  <c r="CC186" i="3"/>
  <c r="CD186" i="3" s="1"/>
  <c r="BO173" i="3"/>
  <c r="CF172" i="3"/>
  <c r="CG172" i="3"/>
  <c r="AY164" i="3"/>
  <c r="AY212" i="3"/>
  <c r="BD162" i="3"/>
  <c r="BE162" i="3"/>
  <c r="BF162" i="3" s="1"/>
  <c r="CA187" i="3"/>
  <c r="V189" i="3"/>
  <c r="H189" i="3"/>
  <c r="AF189" i="3"/>
  <c r="S189" i="3"/>
  <c r="AV189" i="3"/>
  <c r="AE189" i="3"/>
  <c r="AC189" i="3" s="1"/>
  <c r="R189" i="3"/>
  <c r="F189" i="3"/>
  <c r="AU189" i="3"/>
  <c r="AD189" i="3"/>
  <c r="P189" i="3"/>
  <c r="C189" i="3"/>
  <c r="AQ189" i="3"/>
  <c r="Z189" i="3"/>
  <c r="N189" i="3"/>
  <c r="AO189" i="3"/>
  <c r="B189" i="3"/>
  <c r="AA189" i="3"/>
  <c r="K189" i="3"/>
  <c r="AN189" i="3"/>
  <c r="X189" i="3"/>
  <c r="O189" i="3"/>
  <c r="W189" i="3"/>
  <c r="J189" i="3"/>
  <c r="AR189" i="3"/>
  <c r="Q189" i="3"/>
  <c r="Y189" i="3"/>
  <c r="AG189" i="3"/>
  <c r="D189" i="3"/>
  <c r="E189" i="3"/>
  <c r="AP189" i="3"/>
  <c r="L189" i="3"/>
  <c r="M189" i="3"/>
  <c r="AX189" i="3"/>
  <c r="T189" i="3"/>
  <c r="U189" i="3"/>
  <c r="AB189" i="3"/>
  <c r="A214" i="3"/>
  <c r="Q214" i="12" s="1"/>
  <c r="AK189" i="3"/>
  <c r="AL189" i="3"/>
  <c r="AS189" i="3"/>
  <c r="AT189" i="3"/>
  <c r="I189" i="3"/>
  <c r="G189" i="3" s="1"/>
  <c r="O223" i="3"/>
  <c r="D223" i="3"/>
  <c r="Q223" i="3"/>
  <c r="Z223" i="3"/>
  <c r="AT223" i="3"/>
  <c r="I223" i="3"/>
  <c r="G223" i="3" s="1"/>
  <c r="AO223" i="3"/>
  <c r="B223" i="3"/>
  <c r="AL223" i="3"/>
  <c r="AD223" i="3"/>
  <c r="X223" i="3"/>
  <c r="AV223" i="3"/>
  <c r="AN223" i="3"/>
  <c r="U223" i="3"/>
  <c r="AK223" i="3"/>
  <c r="AX223" i="3"/>
  <c r="F223" i="3"/>
  <c r="AE223" i="3"/>
  <c r="M223" i="3"/>
  <c r="AB223" i="3"/>
  <c r="AP223" i="3"/>
  <c r="AU223" i="3"/>
  <c r="J223" i="3"/>
  <c r="S223" i="3"/>
  <c r="AA223" i="3"/>
  <c r="E223" i="3"/>
  <c r="K223" i="3"/>
  <c r="W223" i="3"/>
  <c r="T223" i="3"/>
  <c r="C223" i="3"/>
  <c r="AG223" i="3"/>
  <c r="H223" i="3"/>
  <c r="V223" i="3"/>
  <c r="AS223" i="3"/>
  <c r="Y223" i="3"/>
  <c r="L223" i="3"/>
  <c r="AF223" i="3"/>
  <c r="AR223" i="3"/>
  <c r="N223" i="3"/>
  <c r="P223" i="3"/>
  <c r="R223" i="3"/>
  <c r="AQ223" i="3"/>
  <c r="A224" i="3"/>
  <c r="Q224" i="12" s="1"/>
  <c r="AN199" i="3"/>
  <c r="W199" i="3"/>
  <c r="K199" i="3"/>
  <c r="T199" i="3"/>
  <c r="AR199" i="3"/>
  <c r="AA199" i="3"/>
  <c r="N199" i="3"/>
  <c r="B199" i="3"/>
  <c r="AD199" i="3"/>
  <c r="J199" i="3"/>
  <c r="AB199" i="3"/>
  <c r="F199" i="3"/>
  <c r="AV199" i="3"/>
  <c r="Z199" i="3"/>
  <c r="D199" i="3"/>
  <c r="AU199" i="3"/>
  <c r="V199" i="3"/>
  <c r="C199" i="3"/>
  <c r="AQ199" i="3"/>
  <c r="R199" i="3"/>
  <c r="O199" i="3"/>
  <c r="L199" i="3"/>
  <c r="AS199" i="3"/>
  <c r="AK199" i="3"/>
  <c r="AE199" i="3"/>
  <c r="BG199" i="3" s="1"/>
  <c r="S199" i="3"/>
  <c r="M199" i="3"/>
  <c r="U199" i="3"/>
  <c r="AL199" i="3"/>
  <c r="AX199" i="3"/>
  <c r="H199" i="3"/>
  <c r="P199" i="3"/>
  <c r="AF199" i="3"/>
  <c r="Q199" i="3"/>
  <c r="E199" i="3"/>
  <c r="AO199" i="3"/>
  <c r="Y199" i="3"/>
  <c r="AP199" i="3"/>
  <c r="AT199" i="3"/>
  <c r="X199" i="3"/>
  <c r="I199" i="3"/>
  <c r="G199" i="3" s="1"/>
  <c r="AG199" i="3"/>
  <c r="A190" i="3"/>
  <c r="Q190" i="12" s="1"/>
  <c r="A200" i="3"/>
  <c r="Q200" i="12" s="1"/>
  <c r="AS213" i="3"/>
  <c r="R213" i="3"/>
  <c r="AQ213" i="3"/>
  <c r="AF213" i="3"/>
  <c r="AA213" i="3"/>
  <c r="M213" i="3"/>
  <c r="AB213" i="3"/>
  <c r="AX213" i="3"/>
  <c r="J213" i="3"/>
  <c r="B213" i="3"/>
  <c r="P213" i="3"/>
  <c r="E213" i="3"/>
  <c r="T213" i="3"/>
  <c r="AP213" i="3"/>
  <c r="X213" i="3"/>
  <c r="AU213" i="3"/>
  <c r="L213" i="3"/>
  <c r="AG213" i="3"/>
  <c r="K213" i="3"/>
  <c r="Z213" i="3"/>
  <c r="AD213" i="3"/>
  <c r="D213" i="3"/>
  <c r="Y213" i="3"/>
  <c r="C213" i="3"/>
  <c r="AO213" i="3"/>
  <c r="O213" i="3"/>
  <c r="H213" i="3"/>
  <c r="AK213" i="3"/>
  <c r="W213" i="3"/>
  <c r="S213" i="3"/>
  <c r="AR213" i="3"/>
  <c r="AV213" i="3"/>
  <c r="AT213" i="3"/>
  <c r="AE213" i="3"/>
  <c r="AC213" i="3" s="1"/>
  <c r="AN213" i="3"/>
  <c r="AL213" i="3"/>
  <c r="Q213" i="3"/>
  <c r="F213" i="3"/>
  <c r="U213" i="3"/>
  <c r="N213" i="3"/>
  <c r="I213" i="3"/>
  <c r="G213" i="3" s="1"/>
  <c r="V213" i="3"/>
  <c r="AL175" i="3"/>
  <c r="B175" i="3"/>
  <c r="AX175" i="3"/>
  <c r="AR175" i="3"/>
  <c r="R175" i="3"/>
  <c r="AN175" i="3"/>
  <c r="AT175" i="3"/>
  <c r="AK175" i="3"/>
  <c r="H175" i="3"/>
  <c r="Z175" i="3"/>
  <c r="AF175" i="3"/>
  <c r="O175" i="3"/>
  <c r="U175" i="3"/>
  <c r="K175" i="3"/>
  <c r="X175" i="3"/>
  <c r="AV175" i="3"/>
  <c r="AO175" i="3"/>
  <c r="AA175" i="3"/>
  <c r="I175" i="3"/>
  <c r="G175" i="3" s="1"/>
  <c r="AG175" i="3"/>
  <c r="T175" i="3"/>
  <c r="J175" i="3"/>
  <c r="AQ175" i="3"/>
  <c r="V175" i="3"/>
  <c r="Q175" i="3"/>
  <c r="Y175" i="3"/>
  <c r="S175" i="3"/>
  <c r="W175" i="3"/>
  <c r="AE175" i="3"/>
  <c r="E175" i="3"/>
  <c r="AP175" i="3"/>
  <c r="AD175" i="3"/>
  <c r="L175" i="3"/>
  <c r="D175" i="3"/>
  <c r="M175" i="3"/>
  <c r="AS175" i="3"/>
  <c r="AU175" i="3"/>
  <c r="P175" i="3"/>
  <c r="N175" i="3"/>
  <c r="F175" i="3"/>
  <c r="C175" i="3"/>
  <c r="AB175" i="3"/>
  <c r="AN165" i="3"/>
  <c r="T165" i="3"/>
  <c r="K165" i="3"/>
  <c r="AG165" i="3"/>
  <c r="E165" i="3"/>
  <c r="W165" i="3"/>
  <c r="AS165" i="3"/>
  <c r="I165" i="3"/>
  <c r="G165" i="3" s="1"/>
  <c r="F165" i="3"/>
  <c r="R165" i="3"/>
  <c r="N165" i="3"/>
  <c r="AE165" i="3"/>
  <c r="BT165" i="3" s="1"/>
  <c r="Y165" i="3"/>
  <c r="AL165" i="3"/>
  <c r="AU165" i="3"/>
  <c r="H165" i="3"/>
  <c r="AV165" i="3"/>
  <c r="U165" i="3"/>
  <c r="O165" i="3"/>
  <c r="AR165" i="3"/>
  <c r="AA165" i="3"/>
  <c r="AQ165" i="3"/>
  <c r="B165" i="3"/>
  <c r="AF165" i="3"/>
  <c r="AK165" i="3"/>
  <c r="X165" i="3"/>
  <c r="AT165" i="3"/>
  <c r="AP165" i="3"/>
  <c r="L165" i="3"/>
  <c r="Z165" i="3"/>
  <c r="S165" i="3"/>
  <c r="AB165" i="3"/>
  <c r="C165" i="3"/>
  <c r="V165" i="3"/>
  <c r="J165" i="3"/>
  <c r="Q165" i="3"/>
  <c r="A166" i="3"/>
  <c r="Q166" i="12" s="1"/>
  <c r="AD165" i="3"/>
  <c r="AO165" i="3"/>
  <c r="AX165" i="3"/>
  <c r="M165" i="3"/>
  <c r="P165" i="3"/>
  <c r="D165" i="3"/>
  <c r="AM165" i="3" l="1"/>
  <c r="AM213" i="3"/>
  <c r="AM175" i="3"/>
  <c r="BZ199" i="3"/>
  <c r="AM189" i="3"/>
  <c r="BT175" i="3"/>
  <c r="BI222" i="3"/>
  <c r="BA223" i="3"/>
  <c r="BB223" i="3"/>
  <c r="AM223" i="3"/>
  <c r="BB213" i="3"/>
  <c r="BH223" i="3"/>
  <c r="BB199" i="3"/>
  <c r="BB189" i="3"/>
  <c r="BB175" i="3"/>
  <c r="BB165" i="3"/>
  <c r="BH213" i="3"/>
  <c r="BN223" i="3"/>
  <c r="BH199" i="3"/>
  <c r="BH189" i="3"/>
  <c r="BH175" i="3"/>
  <c r="BH165" i="3"/>
  <c r="BN213" i="3"/>
  <c r="BT223" i="3"/>
  <c r="BN199" i="3"/>
  <c r="BN189" i="3"/>
  <c r="BN175" i="3"/>
  <c r="BN165" i="3"/>
  <c r="BM175" i="3"/>
  <c r="BO175" i="3" s="1"/>
  <c r="BA213" i="3"/>
  <c r="BA199" i="3"/>
  <c r="BA189" i="3"/>
  <c r="BA175" i="3"/>
  <c r="BA165" i="3"/>
  <c r="BT213" i="3"/>
  <c r="BT199" i="3"/>
  <c r="BT189" i="3"/>
  <c r="AW166" i="3"/>
  <c r="AM166" i="3" s="1"/>
  <c r="AW224" i="3"/>
  <c r="AM224" i="3" s="1"/>
  <c r="AW214" i="3"/>
  <c r="AM214" i="3" s="1"/>
  <c r="AW200" i="3"/>
  <c r="AM200" i="3" s="1"/>
  <c r="AW190" i="3"/>
  <c r="AM190" i="3" s="1"/>
  <c r="BO212" i="3"/>
  <c r="BP212" i="3" s="1"/>
  <c r="BU212" i="3"/>
  <c r="BV212" i="3" s="1"/>
  <c r="BE211" i="3"/>
  <c r="BF211" i="3" s="1"/>
  <c r="BW211" i="3"/>
  <c r="BX211" i="3" s="1"/>
  <c r="BI198" i="3"/>
  <c r="BK198" i="3" s="1"/>
  <c r="BL198" i="3" s="1"/>
  <c r="BO188" i="3"/>
  <c r="BP188" i="3" s="1"/>
  <c r="CE198" i="3"/>
  <c r="CG198" i="3" s="1"/>
  <c r="BC198" i="3"/>
  <c r="BE198" i="3" s="1"/>
  <c r="BF198" i="3" s="1"/>
  <c r="BK163" i="3"/>
  <c r="BL163" i="3" s="1"/>
  <c r="CA188" i="3"/>
  <c r="CC188" i="3" s="1"/>
  <c r="CD188" i="3" s="1"/>
  <c r="BI164" i="3"/>
  <c r="BJ164" i="3" s="1"/>
  <c r="CG188" i="3"/>
  <c r="BD163" i="3"/>
  <c r="AH189" i="3"/>
  <c r="AI189" i="3" s="1"/>
  <c r="AH175" i="3"/>
  <c r="AI175" i="3" s="1"/>
  <c r="AH199" i="3"/>
  <c r="AI199" i="3" s="1"/>
  <c r="BU188" i="3"/>
  <c r="BW188" i="3" s="1"/>
  <c r="BX188" i="3" s="1"/>
  <c r="AI164" i="3"/>
  <c r="AC223" i="3"/>
  <c r="BY223" i="3" s="1"/>
  <c r="AH165" i="3"/>
  <c r="AI165" i="3" s="1"/>
  <c r="BO222" i="3"/>
  <c r="BP222" i="3" s="1"/>
  <c r="CA198" i="3"/>
  <c r="CB198" i="3" s="1"/>
  <c r="AH212" i="3"/>
  <c r="AI212" i="3" s="1"/>
  <c r="BQ211" i="3"/>
  <c r="BR211" i="3" s="1"/>
  <c r="BY213" i="3"/>
  <c r="BV211" i="3"/>
  <c r="AY223" i="3"/>
  <c r="BO198" i="3"/>
  <c r="BQ198" i="3" s="1"/>
  <c r="BR198" i="3" s="1"/>
  <c r="AI210" i="3"/>
  <c r="BK210" i="3"/>
  <c r="BL210" i="3" s="1"/>
  <c r="CG210" i="3"/>
  <c r="BQ210" i="3"/>
  <c r="BR210" i="3" s="1"/>
  <c r="BW210" i="3"/>
  <c r="BX210" i="3" s="1"/>
  <c r="BG223" i="3"/>
  <c r="BU222" i="3"/>
  <c r="BV222" i="3" s="1"/>
  <c r="BK211" i="3"/>
  <c r="BL211" i="3" s="1"/>
  <c r="CC210" i="3"/>
  <c r="CD210" i="3" s="1"/>
  <c r="BE164" i="3"/>
  <c r="BF164" i="3" s="1"/>
  <c r="BD164" i="3"/>
  <c r="BY189" i="3"/>
  <c r="CA174" i="3"/>
  <c r="CC174" i="3" s="1"/>
  <c r="CD174" i="3" s="1"/>
  <c r="BU198" i="3"/>
  <c r="BI188" i="3"/>
  <c r="BG175" i="3"/>
  <c r="AC199" i="3"/>
  <c r="BY199" i="3" s="1"/>
  <c r="BG189" i="3"/>
  <c r="BO174" i="3"/>
  <c r="BQ174" i="3" s="1"/>
  <c r="BR174" i="3" s="1"/>
  <c r="BM189" i="3"/>
  <c r="BP197" i="3"/>
  <c r="BC212" i="3"/>
  <c r="BD212" i="3" s="1"/>
  <c r="BU164" i="3"/>
  <c r="BW164" i="3" s="1"/>
  <c r="BX164" i="3" s="1"/>
  <c r="BP163" i="3"/>
  <c r="BQ163" i="3"/>
  <c r="BR163" i="3" s="1"/>
  <c r="BG213" i="3"/>
  <c r="BM223" i="3"/>
  <c r="BS175" i="3"/>
  <c r="BO164" i="3"/>
  <c r="AC165" i="3"/>
  <c r="BY165" i="3" s="1"/>
  <c r="AY199" i="3"/>
  <c r="BS189" i="3"/>
  <c r="AC175" i="3"/>
  <c r="BY175" i="3" s="1"/>
  <c r="BC188" i="3"/>
  <c r="BE188" i="3" s="1"/>
  <c r="BF188" i="3" s="1"/>
  <c r="BV163" i="3"/>
  <c r="BW163" i="3"/>
  <c r="BX163" i="3" s="1"/>
  <c r="BS213" i="3"/>
  <c r="BS199" i="3"/>
  <c r="BS223" i="3"/>
  <c r="BM213" i="3"/>
  <c r="BS165" i="3"/>
  <c r="AH213" i="3"/>
  <c r="AI213" i="3" s="1"/>
  <c r="BD222" i="3"/>
  <c r="BJ222" i="3"/>
  <c r="CB187" i="3"/>
  <c r="CC187" i="3"/>
  <c r="CD187" i="3" s="1"/>
  <c r="CE164" i="3"/>
  <c r="CA164" i="3"/>
  <c r="AY189" i="3"/>
  <c r="CG173" i="3"/>
  <c r="CF173" i="3"/>
  <c r="CG163" i="3"/>
  <c r="CF163" i="3"/>
  <c r="BP187" i="3"/>
  <c r="BQ187" i="3"/>
  <c r="BR187" i="3" s="1"/>
  <c r="CG174" i="3"/>
  <c r="CF174" i="3"/>
  <c r="CB173" i="3"/>
  <c r="CC173" i="3"/>
  <c r="CD173" i="3" s="1"/>
  <c r="CB163" i="3"/>
  <c r="CC163" i="3"/>
  <c r="CD163" i="3" s="1"/>
  <c r="AY165" i="3"/>
  <c r="AY213" i="3"/>
  <c r="BI199" i="3"/>
  <c r="BJ173" i="3"/>
  <c r="BK173" i="3"/>
  <c r="BL173" i="3" s="1"/>
  <c r="CF211" i="3"/>
  <c r="CG211" i="3"/>
  <c r="CB211" i="3"/>
  <c r="CC211" i="3"/>
  <c r="CD211" i="3" s="1"/>
  <c r="BW174" i="3"/>
  <c r="BX174" i="3" s="1"/>
  <c r="BV174" i="3"/>
  <c r="BV173" i="3"/>
  <c r="BW173" i="3"/>
  <c r="BX173" i="3" s="1"/>
  <c r="BQ173" i="3"/>
  <c r="BR173" i="3" s="1"/>
  <c r="BP173" i="3"/>
  <c r="BE174" i="3"/>
  <c r="BF174" i="3" s="1"/>
  <c r="BD174" i="3"/>
  <c r="BG165" i="3"/>
  <c r="BM165" i="3"/>
  <c r="BM199" i="3"/>
  <c r="BI212" i="3"/>
  <c r="CA222" i="3"/>
  <c r="CE222" i="3"/>
  <c r="AY175" i="3"/>
  <c r="CE212" i="3"/>
  <c r="CA212" i="3"/>
  <c r="BI174" i="3"/>
  <c r="AF190" i="3"/>
  <c r="P190" i="3"/>
  <c r="AE190" i="3"/>
  <c r="O190" i="3"/>
  <c r="AV190" i="3"/>
  <c r="AB190" i="3"/>
  <c r="K190" i="3"/>
  <c r="AU190" i="3"/>
  <c r="AA190" i="3"/>
  <c r="I190" i="3"/>
  <c r="G190" i="3" s="1"/>
  <c r="AO190" i="3"/>
  <c r="V190" i="3"/>
  <c r="F190" i="3"/>
  <c r="AP190" i="3"/>
  <c r="D190" i="3"/>
  <c r="AK190" i="3"/>
  <c r="Y190" i="3"/>
  <c r="Q190" i="3"/>
  <c r="T190" i="3"/>
  <c r="H190" i="3"/>
  <c r="AT190" i="3"/>
  <c r="L190" i="3"/>
  <c r="S190" i="3"/>
  <c r="AL190" i="3"/>
  <c r="W190" i="3"/>
  <c r="AD190" i="3"/>
  <c r="AC190" i="3"/>
  <c r="AG190" i="3"/>
  <c r="AN190" i="3"/>
  <c r="A215" i="3"/>
  <c r="Q215" i="12" s="1"/>
  <c r="U190" i="3"/>
  <c r="AQ190" i="3"/>
  <c r="AR190" i="3"/>
  <c r="C190" i="3"/>
  <c r="AX190" i="3"/>
  <c r="M190" i="3"/>
  <c r="Z190" i="3"/>
  <c r="N190" i="3"/>
  <c r="E190" i="3"/>
  <c r="R190" i="3"/>
  <c r="X190" i="3"/>
  <c r="B190" i="3"/>
  <c r="AS190" i="3"/>
  <c r="J190" i="3"/>
  <c r="AK224" i="3"/>
  <c r="J224" i="3"/>
  <c r="AG224" i="3"/>
  <c r="F224" i="3"/>
  <c r="U224" i="3"/>
  <c r="AB224" i="3"/>
  <c r="B224" i="3"/>
  <c r="Y224" i="3"/>
  <c r="AO224" i="3"/>
  <c r="M224" i="3"/>
  <c r="D224" i="3"/>
  <c r="AA224" i="3"/>
  <c r="P224" i="3"/>
  <c r="AE224" i="3"/>
  <c r="AC224" i="3" s="1"/>
  <c r="AU224" i="3"/>
  <c r="S224" i="3"/>
  <c r="AQ224" i="3"/>
  <c r="H224" i="3"/>
  <c r="W224" i="3"/>
  <c r="AD224" i="3"/>
  <c r="AT224" i="3"/>
  <c r="T224" i="3"/>
  <c r="Q224" i="3"/>
  <c r="AV224" i="3"/>
  <c r="L224" i="3"/>
  <c r="I224" i="3"/>
  <c r="G224" i="3" s="1"/>
  <c r="AN224" i="3"/>
  <c r="E224" i="3"/>
  <c r="R224" i="3"/>
  <c r="AL224" i="3"/>
  <c r="AS224" i="3"/>
  <c r="Z224" i="3"/>
  <c r="O224" i="3"/>
  <c r="AP224" i="3"/>
  <c r="AR224" i="3"/>
  <c r="AF224" i="3"/>
  <c r="AX224" i="3"/>
  <c r="V224" i="3"/>
  <c r="N224" i="3"/>
  <c r="X224" i="3"/>
  <c r="K224" i="3"/>
  <c r="C224" i="3"/>
  <c r="A191" i="3"/>
  <c r="Q191" i="12" s="1"/>
  <c r="V200" i="3"/>
  <c r="AL200" i="3"/>
  <c r="AX200" i="3"/>
  <c r="X200" i="3"/>
  <c r="AN200" i="3"/>
  <c r="A225" i="3"/>
  <c r="Q225" i="12" s="1"/>
  <c r="N200" i="3"/>
  <c r="AK200" i="3"/>
  <c r="K200" i="3"/>
  <c r="O200" i="3"/>
  <c r="T200" i="3"/>
  <c r="F200" i="3"/>
  <c r="U200" i="3"/>
  <c r="AQ200" i="3"/>
  <c r="AP200" i="3"/>
  <c r="Y200" i="3"/>
  <c r="AR200" i="3"/>
  <c r="AO200" i="3"/>
  <c r="AA200" i="3"/>
  <c r="M200" i="3"/>
  <c r="Z200" i="3"/>
  <c r="AE200" i="3"/>
  <c r="L200" i="3"/>
  <c r="AF200" i="3"/>
  <c r="E200" i="3"/>
  <c r="R200" i="3"/>
  <c r="Q200" i="3"/>
  <c r="AV200" i="3"/>
  <c r="S200" i="3"/>
  <c r="C200" i="3"/>
  <c r="P200" i="3"/>
  <c r="J200" i="3"/>
  <c r="D200" i="3"/>
  <c r="W200" i="3"/>
  <c r="AS200" i="3"/>
  <c r="AU200" i="3"/>
  <c r="B200" i="3"/>
  <c r="I200" i="3"/>
  <c r="G200" i="3" s="1"/>
  <c r="AG200" i="3"/>
  <c r="AD200" i="3"/>
  <c r="AT200" i="3"/>
  <c r="H200" i="3"/>
  <c r="AB200" i="3"/>
  <c r="J214" i="3"/>
  <c r="Y214" i="3"/>
  <c r="V214" i="3"/>
  <c r="AK214" i="3"/>
  <c r="AS214" i="3"/>
  <c r="AF214" i="3"/>
  <c r="B214" i="3"/>
  <c r="Q214" i="3"/>
  <c r="N214" i="3"/>
  <c r="AR214" i="3"/>
  <c r="P214" i="3"/>
  <c r="X214" i="3"/>
  <c r="T214" i="3"/>
  <c r="K214" i="3"/>
  <c r="I214" i="3"/>
  <c r="G214" i="3" s="1"/>
  <c r="F214" i="3"/>
  <c r="AE214" i="3"/>
  <c r="BT214" i="3" s="1"/>
  <c r="D214" i="3"/>
  <c r="L214" i="3"/>
  <c r="S214" i="3"/>
  <c r="AL214" i="3"/>
  <c r="AB214" i="3"/>
  <c r="E214" i="3"/>
  <c r="W214" i="3"/>
  <c r="O214" i="3"/>
  <c r="H214" i="3"/>
  <c r="AQ214" i="3"/>
  <c r="AX214" i="3"/>
  <c r="AV214" i="3"/>
  <c r="AN214" i="3"/>
  <c r="C214" i="3"/>
  <c r="AA214" i="3"/>
  <c r="Z214" i="3"/>
  <c r="AP214" i="3"/>
  <c r="AU214" i="3"/>
  <c r="AT214" i="3"/>
  <c r="M214" i="3"/>
  <c r="R214" i="3"/>
  <c r="AG214" i="3"/>
  <c r="AD214" i="3"/>
  <c r="AO214" i="3"/>
  <c r="U214" i="3"/>
  <c r="AX166" i="3"/>
  <c r="E166" i="3"/>
  <c r="AK166" i="3"/>
  <c r="AO166" i="3"/>
  <c r="AU166" i="3"/>
  <c r="AL166" i="3"/>
  <c r="AF166" i="3"/>
  <c r="AR166" i="3"/>
  <c r="Q166" i="3"/>
  <c r="K166" i="3"/>
  <c r="C166" i="3"/>
  <c r="T166" i="3"/>
  <c r="AD166" i="3"/>
  <c r="D166" i="3"/>
  <c r="AA166" i="3"/>
  <c r="X166" i="3"/>
  <c r="AQ166" i="3"/>
  <c r="AP166" i="3"/>
  <c r="AN166" i="3"/>
  <c r="Y166" i="3"/>
  <c r="AG166" i="3"/>
  <c r="W166" i="3"/>
  <c r="F166" i="3"/>
  <c r="I166" i="3"/>
  <c r="G166" i="3" s="1"/>
  <c r="L166" i="3"/>
  <c r="V166" i="3"/>
  <c r="R166" i="3"/>
  <c r="B166" i="3"/>
  <c r="AE166" i="3"/>
  <c r="A167" i="3"/>
  <c r="Q167" i="12" s="1"/>
  <c r="P166" i="3"/>
  <c r="Z166" i="3"/>
  <c r="H166" i="3"/>
  <c r="AV166" i="3"/>
  <c r="AT166" i="3"/>
  <c r="AS166" i="3"/>
  <c r="O166" i="3"/>
  <c r="N166" i="3"/>
  <c r="J166" i="3"/>
  <c r="S166" i="3"/>
  <c r="AB166" i="3"/>
  <c r="U166" i="3"/>
  <c r="M166" i="3"/>
  <c r="BT190" i="3" l="1"/>
  <c r="CC198" i="3"/>
  <c r="CD198" i="3" s="1"/>
  <c r="BT166" i="3"/>
  <c r="BB166" i="3"/>
  <c r="BZ214" i="3"/>
  <c r="BZ190" i="3"/>
  <c r="BT224" i="3"/>
  <c r="BA200" i="3"/>
  <c r="BZ166" i="3"/>
  <c r="BJ198" i="3"/>
  <c r="BH190" i="3"/>
  <c r="BH200" i="3"/>
  <c r="BH214" i="3"/>
  <c r="BH224" i="3"/>
  <c r="BH166" i="3"/>
  <c r="BB190" i="3"/>
  <c r="BB200" i="3"/>
  <c r="BB214" i="3"/>
  <c r="BB224" i="3"/>
  <c r="BN190" i="3"/>
  <c r="BN200" i="3"/>
  <c r="BN214" i="3"/>
  <c r="BN224" i="3"/>
  <c r="BN166" i="3"/>
  <c r="BT200" i="3"/>
  <c r="BA190" i="3"/>
  <c r="BA214" i="3"/>
  <c r="BA224" i="3"/>
  <c r="BA166" i="3"/>
  <c r="BZ200" i="3"/>
  <c r="BZ224" i="3"/>
  <c r="AW167" i="3"/>
  <c r="AM167" i="3" s="1"/>
  <c r="AW191" i="3"/>
  <c r="AM191" i="3" s="1"/>
  <c r="AW225" i="3"/>
  <c r="AM225" i="3" s="1"/>
  <c r="AW215" i="3"/>
  <c r="AM215" i="3" s="1"/>
  <c r="BP198" i="3"/>
  <c r="BI165" i="3"/>
  <c r="BK165" i="3" s="1"/>
  <c r="BL165" i="3" s="1"/>
  <c r="BQ188" i="3"/>
  <c r="BR188" i="3" s="1"/>
  <c r="BU189" i="3"/>
  <c r="BV189" i="3" s="1"/>
  <c r="BD198" i="3"/>
  <c r="CE223" i="3"/>
  <c r="CF223" i="3" s="1"/>
  <c r="BU223" i="3"/>
  <c r="BV223" i="3" s="1"/>
  <c r="CF198" i="3"/>
  <c r="BI175" i="3"/>
  <c r="BJ175" i="3" s="1"/>
  <c r="BV188" i="3"/>
  <c r="CB188" i="3"/>
  <c r="CE199" i="3"/>
  <c r="CF199" i="3" s="1"/>
  <c r="BU199" i="3"/>
  <c r="BW199" i="3" s="1"/>
  <c r="BX199" i="3" s="1"/>
  <c r="BI223" i="3"/>
  <c r="BJ223" i="3" s="1"/>
  <c r="AH214" i="3"/>
  <c r="AI214" i="3" s="1"/>
  <c r="CB174" i="3"/>
  <c r="BP174" i="3"/>
  <c r="BY190" i="3"/>
  <c r="BW212" i="3"/>
  <c r="BX212" i="3" s="1"/>
  <c r="BE212" i="3"/>
  <c r="BF212" i="3" s="1"/>
  <c r="BK164" i="3"/>
  <c r="BL164" i="3" s="1"/>
  <c r="BC189" i="3"/>
  <c r="BD189" i="3" s="1"/>
  <c r="BQ212" i="3"/>
  <c r="BR212" i="3" s="1"/>
  <c r="AH224" i="3"/>
  <c r="AI224" i="3" s="1"/>
  <c r="BV164" i="3"/>
  <c r="BO223" i="3"/>
  <c r="AH190" i="3"/>
  <c r="AI190" i="3" s="1"/>
  <c r="BI189" i="3"/>
  <c r="BK189" i="3" s="1"/>
  <c r="BL189" i="3" s="1"/>
  <c r="CA223" i="3"/>
  <c r="AH200" i="3"/>
  <c r="AI200" i="3" s="1"/>
  <c r="BC223" i="3"/>
  <c r="BU165" i="3"/>
  <c r="BW165" i="3" s="1"/>
  <c r="BX165" i="3" s="1"/>
  <c r="BJ188" i="3"/>
  <c r="BK188" i="3"/>
  <c r="BL188" i="3" s="1"/>
  <c r="AY214" i="3"/>
  <c r="BV198" i="3"/>
  <c r="BW198" i="3"/>
  <c r="BX198" i="3" s="1"/>
  <c r="BO189" i="3"/>
  <c r="BQ189" i="3" s="1"/>
  <c r="BR189" i="3" s="1"/>
  <c r="BG166" i="3"/>
  <c r="BY224" i="3"/>
  <c r="BC165" i="3"/>
  <c r="BO213" i="3"/>
  <c r="BP213" i="3" s="1"/>
  <c r="BU213" i="3"/>
  <c r="BC213" i="3"/>
  <c r="BD213" i="3" s="1"/>
  <c r="BQ175" i="3"/>
  <c r="BR175" i="3" s="1"/>
  <c r="BP175" i="3"/>
  <c r="BU175" i="3"/>
  <c r="BS224" i="3"/>
  <c r="BC199" i="3"/>
  <c r="CA199" i="3"/>
  <c r="CB199" i="3" s="1"/>
  <c r="BG214" i="3"/>
  <c r="BD188" i="3"/>
  <c r="BP164" i="3"/>
  <c r="BQ164" i="3"/>
  <c r="BR164" i="3" s="1"/>
  <c r="BI213" i="3"/>
  <c r="BM214" i="3"/>
  <c r="BG200" i="3"/>
  <c r="AH166" i="3"/>
  <c r="AI166" i="3" s="1"/>
  <c r="BK199" i="3"/>
  <c r="BL199" i="3" s="1"/>
  <c r="BJ199" i="3"/>
  <c r="BM200" i="3"/>
  <c r="AY200" i="3"/>
  <c r="BM224" i="3"/>
  <c r="CG212" i="3"/>
  <c r="CF212" i="3"/>
  <c r="CA189" i="3"/>
  <c r="CE189" i="3"/>
  <c r="AC166" i="3"/>
  <c r="BY166" i="3" s="1"/>
  <c r="BS200" i="3"/>
  <c r="BK174" i="3"/>
  <c r="BL174" i="3" s="1"/>
  <c r="BJ174" i="3"/>
  <c r="BO165" i="3"/>
  <c r="AC214" i="3"/>
  <c r="BY214" i="3" s="1"/>
  <c r="BG190" i="3"/>
  <c r="CE175" i="3"/>
  <c r="CA175" i="3"/>
  <c r="BJ165" i="3"/>
  <c r="BC175" i="3"/>
  <c r="AC200" i="3"/>
  <c r="BY200" i="3" s="1"/>
  <c r="BS166" i="3"/>
  <c r="BS214" i="3"/>
  <c r="BU214" i="3" s="1"/>
  <c r="BG224" i="3"/>
  <c r="CF222" i="3"/>
  <c r="CA213" i="3"/>
  <c r="CE213" i="3"/>
  <c r="AY190" i="3"/>
  <c r="BM190" i="3"/>
  <c r="CB222" i="3"/>
  <c r="BW213" i="3"/>
  <c r="BX213" i="3" s="1"/>
  <c r="BV213" i="3"/>
  <c r="BK212" i="3"/>
  <c r="BL212" i="3" s="1"/>
  <c r="BJ212" i="3"/>
  <c r="CA165" i="3"/>
  <c r="CE165" i="3"/>
  <c r="CC164" i="3"/>
  <c r="CD164" i="3" s="1"/>
  <c r="CB164" i="3"/>
  <c r="BM166" i="3"/>
  <c r="AY166" i="3"/>
  <c r="BS190" i="3"/>
  <c r="AY224" i="3"/>
  <c r="CB212" i="3"/>
  <c r="CC212" i="3"/>
  <c r="CD212" i="3" s="1"/>
  <c r="BO199" i="3"/>
  <c r="CG164" i="3"/>
  <c r="CF164" i="3"/>
  <c r="D215" i="3"/>
  <c r="AA215" i="3"/>
  <c r="J215" i="3"/>
  <c r="S215" i="3"/>
  <c r="AO215" i="3"/>
  <c r="Y215" i="3"/>
  <c r="AV215" i="3"/>
  <c r="B215" i="3"/>
  <c r="K215" i="3"/>
  <c r="AF215" i="3"/>
  <c r="M215" i="3"/>
  <c r="AN215" i="3"/>
  <c r="AP215" i="3"/>
  <c r="AK215" i="3"/>
  <c r="P215" i="3"/>
  <c r="AT215" i="3"/>
  <c r="AG215" i="3"/>
  <c r="AB215" i="3"/>
  <c r="H215" i="3"/>
  <c r="AX215" i="3"/>
  <c r="AE215" i="3"/>
  <c r="BH215" i="3" s="1"/>
  <c r="AU215" i="3"/>
  <c r="O215" i="3"/>
  <c r="I215" i="3"/>
  <c r="G215" i="3" s="1"/>
  <c r="AL215" i="3"/>
  <c r="AS215" i="3"/>
  <c r="U215" i="3"/>
  <c r="V215" i="3"/>
  <c r="C215" i="3"/>
  <c r="W215" i="3"/>
  <c r="Z215" i="3"/>
  <c r="R215" i="3"/>
  <c r="E215" i="3"/>
  <c r="T215" i="3"/>
  <c r="X215" i="3"/>
  <c r="F215" i="3"/>
  <c r="AQ215" i="3"/>
  <c r="L215" i="3"/>
  <c r="Q215" i="3"/>
  <c r="N215" i="3"/>
  <c r="AD215" i="3"/>
  <c r="AR215" i="3"/>
  <c r="AP225" i="3"/>
  <c r="AG225" i="3"/>
  <c r="F225" i="3"/>
  <c r="U225" i="3"/>
  <c r="AK225" i="3"/>
  <c r="AH226" i="3" s="1"/>
  <c r="Q225" i="3"/>
  <c r="T225" i="3"/>
  <c r="AQ225" i="3"/>
  <c r="I225" i="3"/>
  <c r="G225" i="3" s="1"/>
  <c r="L225" i="3"/>
  <c r="Y225" i="3"/>
  <c r="AO225" i="3"/>
  <c r="M225" i="3"/>
  <c r="AB225" i="3"/>
  <c r="B225" i="3"/>
  <c r="AV225" i="3"/>
  <c r="AR225" i="3"/>
  <c r="X225" i="3"/>
  <c r="Z225" i="3"/>
  <c r="N225" i="3"/>
  <c r="AF225" i="3"/>
  <c r="E225" i="3"/>
  <c r="AN225" i="3"/>
  <c r="AS225" i="3"/>
  <c r="P225" i="3"/>
  <c r="AE225" i="3"/>
  <c r="BN225" i="3" s="1"/>
  <c r="AU225" i="3"/>
  <c r="D225" i="3"/>
  <c r="AA225" i="3"/>
  <c r="AT225" i="3"/>
  <c r="J225" i="3"/>
  <c r="V225" i="3"/>
  <c r="R225" i="3"/>
  <c r="H225" i="3"/>
  <c r="W225" i="3"/>
  <c r="AD225" i="3"/>
  <c r="S225" i="3"/>
  <c r="AX225" i="3"/>
  <c r="O225" i="3"/>
  <c r="AL225" i="3"/>
  <c r="K225" i="3"/>
  <c r="C225" i="3"/>
  <c r="A192" i="3"/>
  <c r="Q192" i="12" s="1"/>
  <c r="AU191" i="3"/>
  <c r="U191" i="3"/>
  <c r="AP191" i="3"/>
  <c r="S191" i="3"/>
  <c r="AL191" i="3"/>
  <c r="Q191" i="3"/>
  <c r="AK191" i="3"/>
  <c r="P191" i="3"/>
  <c r="H191" i="3"/>
  <c r="F191" i="3"/>
  <c r="E191" i="3"/>
  <c r="AX191" i="3"/>
  <c r="AF191" i="3"/>
  <c r="AB191" i="3"/>
  <c r="AA191" i="3"/>
  <c r="K191" i="3"/>
  <c r="T191" i="3"/>
  <c r="M191" i="3"/>
  <c r="AQ191" i="3"/>
  <c r="AR191" i="3"/>
  <c r="AD191" i="3"/>
  <c r="X191" i="3"/>
  <c r="Z191" i="3"/>
  <c r="AV191" i="3"/>
  <c r="AO191" i="3"/>
  <c r="L191" i="3"/>
  <c r="AS191" i="3"/>
  <c r="A216" i="3"/>
  <c r="Q216" i="12" s="1"/>
  <c r="R191" i="3"/>
  <c r="AN191" i="3"/>
  <c r="D191" i="3"/>
  <c r="AG191" i="3"/>
  <c r="J191" i="3"/>
  <c r="AE191" i="3"/>
  <c r="AC191" i="3" s="1"/>
  <c r="N191" i="3"/>
  <c r="B191" i="3"/>
  <c r="W191" i="3"/>
  <c r="Y191" i="3"/>
  <c r="O191" i="3"/>
  <c r="V191" i="3"/>
  <c r="C191" i="3"/>
  <c r="AT191" i="3"/>
  <c r="I191" i="3"/>
  <c r="G191" i="3" s="1"/>
  <c r="V167" i="3"/>
  <c r="O167" i="3"/>
  <c r="AK167" i="3"/>
  <c r="AD167" i="3"/>
  <c r="AO167" i="3"/>
  <c r="J167" i="3"/>
  <c r="P167" i="3"/>
  <c r="I167" i="3"/>
  <c r="G167" i="3" s="1"/>
  <c r="Q167" i="3"/>
  <c r="U167" i="3"/>
  <c r="R167" i="3"/>
  <c r="W167" i="3"/>
  <c r="C167" i="3"/>
  <c r="B167" i="3"/>
  <c r="AA167" i="3"/>
  <c r="AG167" i="3"/>
  <c r="AE167" i="3"/>
  <c r="X167" i="3"/>
  <c r="AL167" i="3"/>
  <c r="K167" i="3"/>
  <c r="L167" i="3"/>
  <c r="T167" i="3"/>
  <c r="AT167" i="3"/>
  <c r="AB167" i="3"/>
  <c r="S167" i="3"/>
  <c r="AF167" i="3"/>
  <c r="N167" i="3"/>
  <c r="AU167" i="3"/>
  <c r="E167" i="3"/>
  <c r="M167" i="3"/>
  <c r="Z167" i="3"/>
  <c r="Y167" i="3"/>
  <c r="AX167" i="3"/>
  <c r="AR167" i="3"/>
  <c r="A168" i="3"/>
  <c r="Q168" i="12" s="1"/>
  <c r="AQ167" i="3"/>
  <c r="AN167" i="3"/>
  <c r="AS167" i="3"/>
  <c r="AP167" i="3"/>
  <c r="F167" i="3"/>
  <c r="D167" i="3"/>
  <c r="AV167" i="3"/>
  <c r="H167" i="3"/>
  <c r="BH167" i="3" l="1"/>
  <c r="BO166" i="3"/>
  <c r="BA225" i="3"/>
  <c r="BN167" i="3"/>
  <c r="BE189" i="3"/>
  <c r="BF189" i="3" s="1"/>
  <c r="BN215" i="3"/>
  <c r="BQ213" i="3"/>
  <c r="BR213" i="3" s="1"/>
  <c r="BW189" i="3"/>
  <c r="BX189" i="3" s="1"/>
  <c r="BH225" i="3"/>
  <c r="BA191" i="3"/>
  <c r="BA215" i="3"/>
  <c r="BN191" i="3"/>
  <c r="BK175" i="3"/>
  <c r="BL175" i="3" s="1"/>
  <c r="BT215" i="3"/>
  <c r="BZ225" i="3"/>
  <c r="BT191" i="3"/>
  <c r="BT167" i="3"/>
  <c r="BA167" i="3"/>
  <c r="BZ215" i="3"/>
  <c r="BT225" i="3"/>
  <c r="BZ191" i="3"/>
  <c r="BZ167" i="3"/>
  <c r="BB215" i="3"/>
  <c r="BB225" i="3"/>
  <c r="BB191" i="3"/>
  <c r="BB167" i="3"/>
  <c r="BH191" i="3"/>
  <c r="AW168" i="3"/>
  <c r="AM168" i="3" s="1"/>
  <c r="AW192" i="3"/>
  <c r="AM192" i="3" s="1"/>
  <c r="AW216" i="3"/>
  <c r="BZ216" i="3" s="1"/>
  <c r="BV165" i="3"/>
  <c r="CG199" i="3"/>
  <c r="BV199" i="3"/>
  <c r="BC200" i="3"/>
  <c r="BD200" i="3" s="1"/>
  <c r="BO214" i="3"/>
  <c r="BP214" i="3" s="1"/>
  <c r="BU190" i="3"/>
  <c r="CA214" i="3"/>
  <c r="BJ189" i="3"/>
  <c r="BO190" i="3"/>
  <c r="BP190" i="3" s="1"/>
  <c r="AH215" i="3"/>
  <c r="AI215" i="3" s="1"/>
  <c r="BI214" i="3"/>
  <c r="BJ214" i="3" s="1"/>
  <c r="AH225" i="3"/>
  <c r="AI225" i="3" s="1"/>
  <c r="AH227" i="3"/>
  <c r="BE213" i="3"/>
  <c r="BF213" i="3" s="1"/>
  <c r="BI166" i="3"/>
  <c r="BJ166" i="3" s="1"/>
  <c r="AI226" i="3"/>
  <c r="BK226" i="3"/>
  <c r="BL226" i="3" s="1"/>
  <c r="BQ226" i="3"/>
  <c r="BR226" i="3" s="1"/>
  <c r="BW226" i="3"/>
  <c r="BX226" i="3" s="1"/>
  <c r="CG226" i="3"/>
  <c r="BE226" i="3"/>
  <c r="BF226" i="3" s="1"/>
  <c r="CC226" i="3"/>
  <c r="CD226" i="3" s="1"/>
  <c r="CB223" i="3"/>
  <c r="BP223" i="3"/>
  <c r="BD223" i="3"/>
  <c r="CC199" i="3"/>
  <c r="CD199" i="3" s="1"/>
  <c r="BP189" i="3"/>
  <c r="AH191" i="3"/>
  <c r="AI191" i="3" s="1"/>
  <c r="CE214" i="3"/>
  <c r="CG214" i="3" s="1"/>
  <c r="BY191" i="3"/>
  <c r="BI200" i="3"/>
  <c r="BJ200" i="3" s="1"/>
  <c r="BS225" i="3"/>
  <c r="AY215" i="3"/>
  <c r="BD165" i="3"/>
  <c r="BE165" i="3"/>
  <c r="BF165" i="3" s="1"/>
  <c r="BC224" i="3"/>
  <c r="BD224" i="3" s="1"/>
  <c r="BU200" i="3"/>
  <c r="BV200" i="3" s="1"/>
  <c r="BC214" i="3"/>
  <c r="BE214" i="3" s="1"/>
  <c r="BF214" i="3" s="1"/>
  <c r="BU166" i="3"/>
  <c r="BV166" i="3" s="1"/>
  <c r="BM215" i="3"/>
  <c r="BW175" i="3"/>
  <c r="BX175" i="3" s="1"/>
  <c r="BV175" i="3"/>
  <c r="BI190" i="3"/>
  <c r="BJ190" i="3" s="1"/>
  <c r="BC190" i="3"/>
  <c r="BJ213" i="3"/>
  <c r="BK213" i="3"/>
  <c r="BL213" i="3" s="1"/>
  <c r="AY167" i="3"/>
  <c r="BG225" i="3"/>
  <c r="BU224" i="3"/>
  <c r="BW224" i="3" s="1"/>
  <c r="BX224" i="3" s="1"/>
  <c r="BD199" i="3"/>
  <c r="BE199" i="3"/>
  <c r="BF199" i="3" s="1"/>
  <c r="BE200" i="3"/>
  <c r="BF200" i="3" s="1"/>
  <c r="AH167" i="3"/>
  <c r="AI167" i="3" s="1"/>
  <c r="BS167" i="3"/>
  <c r="AY225" i="3"/>
  <c r="BG215" i="3"/>
  <c r="BS215" i="3"/>
  <c r="CA224" i="3"/>
  <c r="CE224" i="3"/>
  <c r="CF213" i="3"/>
  <c r="CG213" i="3"/>
  <c r="BO200" i="3"/>
  <c r="CF165" i="3"/>
  <c r="CG165" i="3"/>
  <c r="CB213" i="3"/>
  <c r="CC213" i="3"/>
  <c r="CD213" i="3" s="1"/>
  <c r="CA200" i="3"/>
  <c r="CE200" i="3"/>
  <c r="BG167" i="3"/>
  <c r="AC167" i="3"/>
  <c r="BY167" i="3" s="1"/>
  <c r="BM225" i="3"/>
  <c r="BW190" i="3"/>
  <c r="BX190" i="3" s="1"/>
  <c r="BV190" i="3"/>
  <c r="CC165" i="3"/>
  <c r="CD165" i="3" s="1"/>
  <c r="CB165" i="3"/>
  <c r="CE190" i="3"/>
  <c r="CA190" i="3"/>
  <c r="BQ165" i="3"/>
  <c r="BR165" i="3" s="1"/>
  <c r="BP165" i="3"/>
  <c r="CF189" i="3"/>
  <c r="CG189" i="3"/>
  <c r="BC166" i="3"/>
  <c r="CE166" i="3"/>
  <c r="CA166" i="3"/>
  <c r="CC175" i="3"/>
  <c r="CD175" i="3" s="1"/>
  <c r="CB175" i="3"/>
  <c r="CC189" i="3"/>
  <c r="CD189" i="3" s="1"/>
  <c r="CB189" i="3"/>
  <c r="CF214" i="3"/>
  <c r="BW214" i="3"/>
  <c r="BX214" i="3" s="1"/>
  <c r="BV214" i="3"/>
  <c r="BM167" i="3"/>
  <c r="BM191" i="3"/>
  <c r="AY191" i="3"/>
  <c r="AC215" i="3"/>
  <c r="BY215" i="3" s="1"/>
  <c r="BP166" i="3"/>
  <c r="BQ166" i="3"/>
  <c r="BR166" i="3" s="1"/>
  <c r="BI224" i="3"/>
  <c r="CG175" i="3"/>
  <c r="CF175" i="3"/>
  <c r="BS191" i="3"/>
  <c r="AC225" i="3"/>
  <c r="BY225" i="3" s="1"/>
  <c r="BP199" i="3"/>
  <c r="BQ199" i="3"/>
  <c r="BR199" i="3" s="1"/>
  <c r="BK190" i="3"/>
  <c r="BL190" i="3" s="1"/>
  <c r="BG191" i="3"/>
  <c r="BD175" i="3"/>
  <c r="BE175" i="3"/>
  <c r="BF175" i="3" s="1"/>
  <c r="BO224" i="3"/>
  <c r="A193" i="3"/>
  <c r="Q193" i="12" s="1"/>
  <c r="I216" i="3"/>
  <c r="G216" i="3" s="1"/>
  <c r="X216" i="3"/>
  <c r="AL216" i="3"/>
  <c r="AS216" i="3"/>
  <c r="AD216" i="3"/>
  <c r="P216" i="3"/>
  <c r="AE216" i="3"/>
  <c r="BN216" i="3" s="1"/>
  <c r="R216" i="3"/>
  <c r="AV216" i="3"/>
  <c r="N216" i="3"/>
  <c r="AP216" i="3"/>
  <c r="E216" i="3"/>
  <c r="AQ216" i="3"/>
  <c r="AG216" i="3"/>
  <c r="AU216" i="3"/>
  <c r="B216" i="3"/>
  <c r="AF216" i="3"/>
  <c r="L216" i="3"/>
  <c r="C216" i="3"/>
  <c r="Y216" i="3"/>
  <c r="AB216" i="3"/>
  <c r="H216" i="3"/>
  <c r="S216" i="3"/>
  <c r="AK216" i="3"/>
  <c r="AH216" i="3" s="1"/>
  <c r="AN216" i="3"/>
  <c r="AO216" i="3"/>
  <c r="AX216" i="3"/>
  <c r="F216" i="3"/>
  <c r="O216" i="3"/>
  <c r="T216" i="3"/>
  <c r="W216" i="3"/>
  <c r="Z216" i="3"/>
  <c r="Q216" i="3"/>
  <c r="AT216" i="3"/>
  <c r="AR216" i="3"/>
  <c r="J216" i="3"/>
  <c r="V216" i="3"/>
  <c r="M216" i="3"/>
  <c r="U216" i="3"/>
  <c r="D216" i="3"/>
  <c r="AA216" i="3"/>
  <c r="K216" i="3"/>
  <c r="AU192" i="3"/>
  <c r="U192" i="3"/>
  <c r="I192" i="3"/>
  <c r="G192" i="3" s="1"/>
  <c r="V192" i="3"/>
  <c r="D192" i="3"/>
  <c r="AP192" i="3"/>
  <c r="AO192" i="3"/>
  <c r="AV192" i="3"/>
  <c r="K192" i="3"/>
  <c r="AX192" i="3"/>
  <c r="AF192" i="3"/>
  <c r="AN192" i="3"/>
  <c r="Y192" i="3"/>
  <c r="M192" i="3"/>
  <c r="E192" i="3"/>
  <c r="A217" i="3"/>
  <c r="Q217" i="12" s="1"/>
  <c r="X192" i="3"/>
  <c r="AE192" i="3"/>
  <c r="AC192" i="3" s="1"/>
  <c r="AS192" i="3"/>
  <c r="AL192" i="3"/>
  <c r="Q192" i="3"/>
  <c r="P192" i="3"/>
  <c r="W192" i="3"/>
  <c r="AK192" i="3"/>
  <c r="R192" i="3"/>
  <c r="O192" i="3"/>
  <c r="AB192" i="3"/>
  <c r="B192" i="3"/>
  <c r="C192" i="3"/>
  <c r="AQ192" i="3"/>
  <c r="AD192" i="3"/>
  <c r="L192" i="3"/>
  <c r="AR192" i="3"/>
  <c r="N192" i="3"/>
  <c r="H192" i="3"/>
  <c r="AA192" i="3"/>
  <c r="S192" i="3"/>
  <c r="AG192" i="3"/>
  <c r="J192" i="3"/>
  <c r="T192" i="3"/>
  <c r="Z192" i="3"/>
  <c r="AT192" i="3"/>
  <c r="F192" i="3"/>
  <c r="AT168" i="3"/>
  <c r="AP168" i="3"/>
  <c r="K168" i="3"/>
  <c r="D168" i="3"/>
  <c r="L168" i="3"/>
  <c r="W168" i="3"/>
  <c r="B168" i="3"/>
  <c r="AR168" i="3"/>
  <c r="U168" i="3"/>
  <c r="E168" i="3"/>
  <c r="Y168" i="3"/>
  <c r="AQ168" i="3"/>
  <c r="Q168" i="3"/>
  <c r="N168" i="3"/>
  <c r="I168" i="3"/>
  <c r="G168" i="3" s="1"/>
  <c r="AA168" i="3"/>
  <c r="AE168" i="3"/>
  <c r="AC168" i="3" s="1"/>
  <c r="O168" i="3"/>
  <c r="T168" i="3"/>
  <c r="H168" i="3"/>
  <c r="V168" i="3"/>
  <c r="S168" i="3"/>
  <c r="AO168" i="3"/>
  <c r="AB168" i="3"/>
  <c r="AX168" i="3"/>
  <c r="X168" i="3"/>
  <c r="AK168" i="3"/>
  <c r="M168" i="3"/>
  <c r="F168" i="3"/>
  <c r="AG168" i="3"/>
  <c r="AS168" i="3"/>
  <c r="AV168" i="3"/>
  <c r="C168" i="3"/>
  <c r="AF168" i="3"/>
  <c r="AD168" i="3"/>
  <c r="AL168" i="3"/>
  <c r="P168" i="3"/>
  <c r="J168" i="3"/>
  <c r="R168" i="3"/>
  <c r="AN168" i="3"/>
  <c r="Z168" i="3"/>
  <c r="AU168" i="3"/>
  <c r="A169" i="3"/>
  <c r="Q169" i="12" s="1"/>
  <c r="AM216" i="3" l="1"/>
  <c r="BU191" i="3"/>
  <c r="BA192" i="3"/>
  <c r="BC191" i="3"/>
  <c r="BE191" i="3" s="1"/>
  <c r="BF191" i="3" s="1"/>
  <c r="BK214" i="3"/>
  <c r="BL214" i="3" s="1"/>
  <c r="BZ192" i="3"/>
  <c r="BZ168" i="3"/>
  <c r="BT216" i="3"/>
  <c r="BT192" i="3"/>
  <c r="BT168" i="3"/>
  <c r="BB216" i="3"/>
  <c r="BB192" i="3"/>
  <c r="BB168" i="3"/>
  <c r="BA216" i="3"/>
  <c r="BA168" i="3"/>
  <c r="BH216" i="3"/>
  <c r="BH192" i="3"/>
  <c r="BH168" i="3"/>
  <c r="BN192" i="3"/>
  <c r="BN168" i="3"/>
  <c r="AW217" i="3"/>
  <c r="AM217" i="3" s="1"/>
  <c r="AW169" i="3"/>
  <c r="AM169" i="3" s="1"/>
  <c r="AW193" i="3"/>
  <c r="BZ193" i="3" s="1"/>
  <c r="BU215" i="3"/>
  <c r="BV215" i="3" s="1"/>
  <c r="BQ214" i="3"/>
  <c r="BR214" i="3" s="1"/>
  <c r="CC214" i="3"/>
  <c r="CD214" i="3" s="1"/>
  <c r="CB214" i="3"/>
  <c r="BI215" i="3"/>
  <c r="BJ215" i="3" s="1"/>
  <c r="BC215" i="3"/>
  <c r="BD215" i="3" s="1"/>
  <c r="BE224" i="3"/>
  <c r="BF224" i="3" s="1"/>
  <c r="BW200" i="3"/>
  <c r="BX200" i="3" s="1"/>
  <c r="BI225" i="3"/>
  <c r="BK225" i="3" s="1"/>
  <c r="BL225" i="3" s="1"/>
  <c r="BQ190" i="3"/>
  <c r="BR190" i="3" s="1"/>
  <c r="BK200" i="3"/>
  <c r="BL200" i="3" s="1"/>
  <c r="BD214" i="3"/>
  <c r="BU225" i="3"/>
  <c r="BV225" i="3" s="1"/>
  <c r="BK166" i="3"/>
  <c r="BL166" i="3" s="1"/>
  <c r="AI227" i="3"/>
  <c r="BK227" i="3"/>
  <c r="BL227" i="3" s="1"/>
  <c r="BE227" i="3"/>
  <c r="BF227" i="3" s="1"/>
  <c r="BQ227" i="3"/>
  <c r="BR227" i="3" s="1"/>
  <c r="BW227" i="3"/>
  <c r="BX227" i="3" s="1"/>
  <c r="CC227" i="3"/>
  <c r="CD227" i="3" s="1"/>
  <c r="CG227" i="3"/>
  <c r="BC167" i="3"/>
  <c r="BD167" i="3" s="1"/>
  <c r="CA215" i="3"/>
  <c r="BM192" i="3"/>
  <c r="AH192" i="3"/>
  <c r="AI192" i="3" s="1"/>
  <c r="CE215" i="3"/>
  <c r="CG215" i="3" s="1"/>
  <c r="BW166" i="3"/>
  <c r="BX166" i="3" s="1"/>
  <c r="BC225" i="3"/>
  <c r="BE225" i="3" s="1"/>
  <c r="BF225" i="3" s="1"/>
  <c r="BY168" i="3"/>
  <c r="BV224" i="3"/>
  <c r="AC216" i="3"/>
  <c r="BY216" i="3" s="1"/>
  <c r="BE190" i="3"/>
  <c r="BF190" i="3" s="1"/>
  <c r="BD190" i="3"/>
  <c r="AI216" i="3"/>
  <c r="BY192" i="3"/>
  <c r="AY192" i="3"/>
  <c r="CE192" i="3" s="1"/>
  <c r="BS216" i="3"/>
  <c r="AY216" i="3"/>
  <c r="CE216" i="3" s="1"/>
  <c r="BO215" i="3"/>
  <c r="CC166" i="3"/>
  <c r="CD166" i="3" s="1"/>
  <c r="CB166" i="3"/>
  <c r="AH168" i="3"/>
  <c r="AI168" i="3" s="1"/>
  <c r="AY168" i="3"/>
  <c r="BI191" i="3"/>
  <c r="CG190" i="3"/>
  <c r="CF190" i="3"/>
  <c r="BI167" i="3"/>
  <c r="CE167" i="3"/>
  <c r="BV191" i="3"/>
  <c r="BW191" i="3"/>
  <c r="BX191" i="3" s="1"/>
  <c r="BD166" i="3"/>
  <c r="BE166" i="3"/>
  <c r="BF166" i="3" s="1"/>
  <c r="BK215" i="3"/>
  <c r="BL215" i="3" s="1"/>
  <c r="BP224" i="3"/>
  <c r="BQ224" i="3"/>
  <c r="BR224" i="3" s="1"/>
  <c r="CG166" i="3"/>
  <c r="CF166" i="3"/>
  <c r="CF200" i="3"/>
  <c r="CG200" i="3"/>
  <c r="CC200" i="3"/>
  <c r="CD200" i="3" s="1"/>
  <c r="CB200" i="3"/>
  <c r="CA225" i="3"/>
  <c r="CE225" i="3"/>
  <c r="BM168" i="3"/>
  <c r="BM216" i="3"/>
  <c r="BE215" i="3"/>
  <c r="BF215" i="3" s="1"/>
  <c r="BG168" i="3"/>
  <c r="BS168" i="3"/>
  <c r="BG216" i="3"/>
  <c r="CA191" i="3"/>
  <c r="CE191" i="3"/>
  <c r="BO225" i="3"/>
  <c r="BG192" i="3"/>
  <c r="BS192" i="3"/>
  <c r="BO191" i="3"/>
  <c r="CA167" i="3"/>
  <c r="CG224" i="3"/>
  <c r="CF224" i="3"/>
  <c r="BK224" i="3"/>
  <c r="BL224" i="3" s="1"/>
  <c r="BJ224" i="3"/>
  <c r="BO167" i="3"/>
  <c r="CB190" i="3"/>
  <c r="CC190" i="3"/>
  <c r="CD190" i="3" s="1"/>
  <c r="BP200" i="3"/>
  <c r="BQ200" i="3"/>
  <c r="BR200" i="3" s="1"/>
  <c r="CB224" i="3"/>
  <c r="CC224" i="3"/>
  <c r="CD224" i="3" s="1"/>
  <c r="BU167" i="3"/>
  <c r="A194" i="3"/>
  <c r="Q194" i="12" s="1"/>
  <c r="M217" i="3"/>
  <c r="Z217" i="3"/>
  <c r="Y217" i="3"/>
  <c r="AA217" i="3"/>
  <c r="AO217" i="3"/>
  <c r="E217" i="3"/>
  <c r="R217" i="3"/>
  <c r="L217" i="3"/>
  <c r="P217" i="3"/>
  <c r="D217" i="3"/>
  <c r="AN217" i="3"/>
  <c r="J217" i="3"/>
  <c r="AD217" i="3"/>
  <c r="AT217" i="3"/>
  <c r="AF217" i="3"/>
  <c r="AB217" i="3"/>
  <c r="AP217" i="3"/>
  <c r="O217" i="3"/>
  <c r="AE217" i="3"/>
  <c r="V217" i="3"/>
  <c r="AL217" i="3"/>
  <c r="S217" i="3"/>
  <c r="H217" i="3"/>
  <c r="W217" i="3"/>
  <c r="T217" i="3"/>
  <c r="C217" i="3"/>
  <c r="AR217" i="3"/>
  <c r="AX217" i="3"/>
  <c r="AU217" i="3"/>
  <c r="AQ217" i="3"/>
  <c r="Q217" i="3"/>
  <c r="F217" i="3"/>
  <c r="I217" i="3"/>
  <c r="G217" i="3" s="1"/>
  <c r="N217" i="3"/>
  <c r="B217" i="3"/>
  <c r="AV217" i="3"/>
  <c r="AK217" i="3"/>
  <c r="X217" i="3"/>
  <c r="AS217" i="3"/>
  <c r="AG217" i="3"/>
  <c r="U217" i="3"/>
  <c r="K217" i="3"/>
  <c r="A218" i="3"/>
  <c r="Q218" i="12" s="1"/>
  <c r="AR193" i="3"/>
  <c r="AE193" i="3"/>
  <c r="AC193" i="3" s="1"/>
  <c r="U193" i="3"/>
  <c r="J193" i="3"/>
  <c r="AQ193" i="3"/>
  <c r="AD193" i="3"/>
  <c r="S193" i="3"/>
  <c r="H193" i="3"/>
  <c r="AO193" i="3"/>
  <c r="R193" i="3"/>
  <c r="AN193" i="3"/>
  <c r="AA193" i="3"/>
  <c r="P193" i="3"/>
  <c r="F193" i="3"/>
  <c r="AV193" i="3"/>
  <c r="AL193" i="3"/>
  <c r="X193" i="3"/>
  <c r="N193" i="3"/>
  <c r="C193" i="3"/>
  <c r="AU193" i="3"/>
  <c r="O193" i="3"/>
  <c r="K193" i="3"/>
  <c r="W193" i="3"/>
  <c r="AT193" i="3"/>
  <c r="M193" i="3"/>
  <c r="E193" i="3"/>
  <c r="Z193" i="3"/>
  <c r="V193" i="3"/>
  <c r="AF193" i="3"/>
  <c r="B193" i="3"/>
  <c r="T193" i="3"/>
  <c r="AB193" i="3"/>
  <c r="I193" i="3"/>
  <c r="G193" i="3" s="1"/>
  <c r="AK193" i="3"/>
  <c r="Q193" i="3"/>
  <c r="AS193" i="3"/>
  <c r="AG193" i="3"/>
  <c r="Y193" i="3"/>
  <c r="AP193" i="3"/>
  <c r="AX193" i="3"/>
  <c r="D193" i="3"/>
  <c r="L193" i="3"/>
  <c r="AV169" i="3"/>
  <c r="I169" i="3"/>
  <c r="G169" i="3" s="1"/>
  <c r="E169" i="3"/>
  <c r="L169" i="3"/>
  <c r="H169" i="3"/>
  <c r="U169" i="3"/>
  <c r="O169" i="3"/>
  <c r="N169" i="3"/>
  <c r="Y169" i="3"/>
  <c r="AA169" i="3"/>
  <c r="AF169" i="3"/>
  <c r="AG169" i="3"/>
  <c r="X169" i="3"/>
  <c r="C169" i="3"/>
  <c r="Z169" i="3"/>
  <c r="A170" i="3"/>
  <c r="Q170" i="12" s="1"/>
  <c r="AK169" i="3"/>
  <c r="S169" i="3"/>
  <c r="AT169" i="3"/>
  <c r="P169" i="3"/>
  <c r="W169" i="3"/>
  <c r="R169" i="3"/>
  <c r="AN169" i="3"/>
  <c r="V169" i="3"/>
  <c r="K169" i="3"/>
  <c r="B169" i="3"/>
  <c r="AL169" i="3"/>
  <c r="AO169" i="3"/>
  <c r="AU169" i="3"/>
  <c r="AE169" i="3"/>
  <c r="BN169" i="3" s="1"/>
  <c r="D169" i="3"/>
  <c r="Q169" i="3"/>
  <c r="AP169" i="3"/>
  <c r="AX169" i="3"/>
  <c r="AD169" i="3"/>
  <c r="AB169" i="3"/>
  <c r="AQ169" i="3"/>
  <c r="F169" i="3"/>
  <c r="J169" i="3"/>
  <c r="T169" i="3"/>
  <c r="AS169" i="3"/>
  <c r="AR169" i="3"/>
  <c r="M169" i="3"/>
  <c r="AM193" i="3" l="1"/>
  <c r="BD191" i="3"/>
  <c r="BC168" i="3"/>
  <c r="BE168" i="3" s="1"/>
  <c r="BF168" i="3" s="1"/>
  <c r="BO192" i="3"/>
  <c r="BN217" i="3"/>
  <c r="BA193" i="3"/>
  <c r="BA169" i="3"/>
  <c r="BA217" i="3"/>
  <c r="BJ225" i="3"/>
  <c r="BZ169" i="3"/>
  <c r="BT217" i="3"/>
  <c r="BW215" i="3"/>
  <c r="BX215" i="3" s="1"/>
  <c r="BT193" i="3"/>
  <c r="BT169" i="3"/>
  <c r="BZ217" i="3"/>
  <c r="BB193" i="3"/>
  <c r="BB169" i="3"/>
  <c r="BB217" i="3"/>
  <c r="BH193" i="3"/>
  <c r="BH169" i="3"/>
  <c r="BH217" i="3"/>
  <c r="BN193" i="3"/>
  <c r="AW218" i="3"/>
  <c r="AW194" i="3"/>
  <c r="AM194" i="3" s="1"/>
  <c r="AW170" i="3"/>
  <c r="AM170" i="3" s="1"/>
  <c r="BI216" i="3"/>
  <c r="BD225" i="3"/>
  <c r="BW225" i="3"/>
  <c r="BX225" i="3" s="1"/>
  <c r="BO216" i="3"/>
  <c r="BI168" i="3"/>
  <c r="BK168" i="3" s="1"/>
  <c r="BL168" i="3" s="1"/>
  <c r="CF215" i="3"/>
  <c r="AH217" i="3"/>
  <c r="AI217" i="3" s="1"/>
  <c r="BE167" i="3"/>
  <c r="BF167" i="3" s="1"/>
  <c r="CC215" i="3"/>
  <c r="CD215" i="3" s="1"/>
  <c r="CB215" i="3"/>
  <c r="BC216" i="3"/>
  <c r="BD216" i="3" s="1"/>
  <c r="AH193" i="3"/>
  <c r="AI193" i="3" s="1"/>
  <c r="CG192" i="3"/>
  <c r="BM217" i="3"/>
  <c r="BO168" i="3"/>
  <c r="BP168" i="3" s="1"/>
  <c r="CF216" i="3"/>
  <c r="AC217" i="3"/>
  <c r="BY217" i="3" s="1"/>
  <c r="CA192" i="3"/>
  <c r="CC192" i="3" s="1"/>
  <c r="CD192" i="3" s="1"/>
  <c r="BS169" i="3"/>
  <c r="BI192" i="3"/>
  <c r="BK192" i="3" s="1"/>
  <c r="BL192" i="3" s="1"/>
  <c r="CF192" i="3"/>
  <c r="BG193" i="3"/>
  <c r="BU216" i="3"/>
  <c r="BV216" i="3" s="1"/>
  <c r="AY217" i="3"/>
  <c r="CG216" i="3"/>
  <c r="AY193" i="3"/>
  <c r="CE193" i="3" s="1"/>
  <c r="BU192" i="3"/>
  <c r="BW192" i="3" s="1"/>
  <c r="BX192" i="3" s="1"/>
  <c r="CA216" i="3"/>
  <c r="BS217" i="3"/>
  <c r="BU168" i="3"/>
  <c r="BW168" i="3" s="1"/>
  <c r="BX168" i="3" s="1"/>
  <c r="BG169" i="3"/>
  <c r="BP215" i="3"/>
  <c r="BQ215" i="3"/>
  <c r="BR215" i="3" s="1"/>
  <c r="CC167" i="3"/>
  <c r="CD167" i="3" s="1"/>
  <c r="CB167" i="3"/>
  <c r="AH169" i="3"/>
  <c r="AI169" i="3" s="1"/>
  <c r="BM193" i="3"/>
  <c r="BY193" i="3"/>
  <c r="BQ192" i="3"/>
  <c r="BR192" i="3" s="1"/>
  <c r="BP192" i="3"/>
  <c r="CF225" i="3"/>
  <c r="CG225" i="3"/>
  <c r="CF167" i="3"/>
  <c r="CG167" i="3"/>
  <c r="AC169" i="3"/>
  <c r="BY169" i="3" s="1"/>
  <c r="BS193" i="3"/>
  <c r="BJ192" i="3"/>
  <c r="BJ168" i="3"/>
  <c r="CE168" i="3"/>
  <c r="CA168" i="3"/>
  <c r="BG217" i="3"/>
  <c r="BK167" i="3"/>
  <c r="BL167" i="3" s="1"/>
  <c r="BJ167" i="3"/>
  <c r="BK191" i="3"/>
  <c r="BL191" i="3" s="1"/>
  <c r="BJ191" i="3"/>
  <c r="BM169" i="3"/>
  <c r="BP225" i="3"/>
  <c r="BQ225" i="3"/>
  <c r="BR225" i="3" s="1"/>
  <c r="BC192" i="3"/>
  <c r="BQ167" i="3"/>
  <c r="BR167" i="3" s="1"/>
  <c r="BP167" i="3"/>
  <c r="BP191" i="3"/>
  <c r="BQ191" i="3"/>
  <c r="BR191" i="3" s="1"/>
  <c r="CF191" i="3"/>
  <c r="CG191" i="3"/>
  <c r="BQ216" i="3"/>
  <c r="BR216" i="3" s="1"/>
  <c r="BP216" i="3"/>
  <c r="BK216" i="3"/>
  <c r="BL216" i="3" s="1"/>
  <c r="BJ216" i="3"/>
  <c r="AY169" i="3"/>
  <c r="BV167" i="3"/>
  <c r="BW167" i="3"/>
  <c r="BX167" i="3" s="1"/>
  <c r="CC225" i="3"/>
  <c r="CD225" i="3" s="1"/>
  <c r="CB225" i="3"/>
  <c r="CB191" i="3"/>
  <c r="CC191" i="3"/>
  <c r="CD191" i="3" s="1"/>
  <c r="M218" i="3"/>
  <c r="AU218" i="3"/>
  <c r="AA218" i="3"/>
  <c r="AB218" i="3"/>
  <c r="AL218" i="3"/>
  <c r="S218" i="3"/>
  <c r="AQ218" i="3"/>
  <c r="AK218" i="3"/>
  <c r="AT218" i="3"/>
  <c r="U218" i="3"/>
  <c r="K218" i="3"/>
  <c r="Z218" i="3"/>
  <c r="AV218" i="3"/>
  <c r="AO218" i="3"/>
  <c r="X218" i="3"/>
  <c r="Y218" i="3"/>
  <c r="T218" i="3"/>
  <c r="J218" i="3"/>
  <c r="AE218" i="3"/>
  <c r="AD218" i="3"/>
  <c r="P218" i="3"/>
  <c r="N218" i="3"/>
  <c r="I218" i="3"/>
  <c r="G218" i="3" s="1"/>
  <c r="C218" i="3"/>
  <c r="O218" i="3"/>
  <c r="AP218" i="3"/>
  <c r="AG218" i="3"/>
  <c r="AX218" i="3"/>
  <c r="Q218" i="3"/>
  <c r="F218" i="3"/>
  <c r="H218" i="3"/>
  <c r="R218" i="3"/>
  <c r="E218" i="3"/>
  <c r="AS218" i="3"/>
  <c r="B218" i="3"/>
  <c r="V218" i="3"/>
  <c r="D218" i="3"/>
  <c r="AN218" i="3"/>
  <c r="AR218" i="3"/>
  <c r="L218" i="3"/>
  <c r="W218" i="3"/>
  <c r="AF218" i="3"/>
  <c r="A195" i="3"/>
  <c r="Q195" i="12" s="1"/>
  <c r="AT194" i="3"/>
  <c r="W194" i="3"/>
  <c r="L194" i="3"/>
  <c r="B194" i="3"/>
  <c r="AS194" i="3"/>
  <c r="AF194" i="3"/>
  <c r="U194" i="3"/>
  <c r="K194" i="3"/>
  <c r="AR194" i="3"/>
  <c r="AE194" i="3"/>
  <c r="T194" i="3"/>
  <c r="J194" i="3"/>
  <c r="AQ194" i="3"/>
  <c r="S194" i="3"/>
  <c r="H194" i="3"/>
  <c r="AN194" i="3"/>
  <c r="AA194" i="3"/>
  <c r="P194" i="3"/>
  <c r="E194" i="3"/>
  <c r="AX194" i="3"/>
  <c r="R194" i="3"/>
  <c r="AO194" i="3"/>
  <c r="AV194" i="3"/>
  <c r="O194" i="3"/>
  <c r="M194" i="3"/>
  <c r="Z194" i="3"/>
  <c r="X194" i="3"/>
  <c r="AL194" i="3"/>
  <c r="AK194" i="3"/>
  <c r="D194" i="3"/>
  <c r="AB194" i="3"/>
  <c r="C194" i="3"/>
  <c r="AU194" i="3"/>
  <c r="A219" i="3"/>
  <c r="Q219" i="12" s="1"/>
  <c r="AP194" i="3"/>
  <c r="N194" i="3"/>
  <c r="Q194" i="3"/>
  <c r="AD194" i="3"/>
  <c r="AG194" i="3"/>
  <c r="F194" i="3"/>
  <c r="I194" i="3"/>
  <c r="G194" i="3" s="1"/>
  <c r="V194" i="3"/>
  <c r="Y194" i="3"/>
  <c r="AV170" i="3"/>
  <c r="V170" i="3"/>
  <c r="Y170" i="3"/>
  <c r="H170" i="3"/>
  <c r="D170" i="3"/>
  <c r="Z170" i="3"/>
  <c r="AB170" i="3"/>
  <c r="W170" i="3"/>
  <c r="X170" i="3"/>
  <c r="AF170" i="3"/>
  <c r="I170" i="3"/>
  <c r="G170" i="3" s="1"/>
  <c r="AN170" i="3"/>
  <c r="K170" i="3"/>
  <c r="Q170" i="3"/>
  <c r="AU170" i="3"/>
  <c r="F170" i="3"/>
  <c r="J170" i="3"/>
  <c r="AP170" i="3"/>
  <c r="U170" i="3"/>
  <c r="AO170" i="3"/>
  <c r="AX170" i="3"/>
  <c r="S170" i="3"/>
  <c r="N170" i="3"/>
  <c r="B170" i="3"/>
  <c r="AT170" i="3"/>
  <c r="A171" i="3"/>
  <c r="Q171" i="12" s="1"/>
  <c r="T170" i="3"/>
  <c r="AS170" i="3"/>
  <c r="AA170" i="3"/>
  <c r="AK170" i="3"/>
  <c r="AL170" i="3"/>
  <c r="R170" i="3"/>
  <c r="AR170" i="3"/>
  <c r="L170" i="3"/>
  <c r="AD170" i="3"/>
  <c r="AE170" i="3"/>
  <c r="AC170" i="3" s="1"/>
  <c r="O170" i="3"/>
  <c r="M170" i="3"/>
  <c r="AG170" i="3"/>
  <c r="P170" i="3"/>
  <c r="E170" i="3"/>
  <c r="AQ170" i="3"/>
  <c r="C170" i="3"/>
  <c r="BD168" i="3" l="1"/>
  <c r="BA218" i="3"/>
  <c r="BB218" i="3"/>
  <c r="BA194" i="3"/>
  <c r="BZ170" i="3"/>
  <c r="BT194" i="3"/>
  <c r="BT218" i="3"/>
  <c r="BT170" i="3"/>
  <c r="BZ194" i="3"/>
  <c r="BZ218" i="3"/>
  <c r="AM218" i="3"/>
  <c r="BN170" i="3"/>
  <c r="BN194" i="3"/>
  <c r="BN218" i="3"/>
  <c r="BH170" i="3"/>
  <c r="BH194" i="3"/>
  <c r="BH218" i="3"/>
  <c r="BV168" i="3"/>
  <c r="BB170" i="3"/>
  <c r="BB194" i="3"/>
  <c r="BA170" i="3"/>
  <c r="AW219" i="3"/>
  <c r="AM219" i="3" s="1"/>
  <c r="AW171" i="3"/>
  <c r="AM171" i="3" s="1"/>
  <c r="AW195" i="3"/>
  <c r="AM195" i="3" s="1"/>
  <c r="BV192" i="3"/>
  <c r="BE216" i="3"/>
  <c r="BF216" i="3" s="1"/>
  <c r="BU169" i="3"/>
  <c r="BV169" i="3" s="1"/>
  <c r="AH218" i="3"/>
  <c r="AI218" i="3" s="1"/>
  <c r="BU217" i="3"/>
  <c r="BV217" i="3" s="1"/>
  <c r="BI217" i="3"/>
  <c r="BK217" i="3" s="1"/>
  <c r="BL217" i="3" s="1"/>
  <c r="BI169" i="3"/>
  <c r="BK169" i="3" s="1"/>
  <c r="BL169" i="3" s="1"/>
  <c r="BI193" i="3"/>
  <c r="BK193" i="3" s="1"/>
  <c r="BL193" i="3" s="1"/>
  <c r="AH194" i="3"/>
  <c r="AI194" i="3" s="1"/>
  <c r="CB192" i="3"/>
  <c r="AH170" i="3"/>
  <c r="AI170" i="3" s="1"/>
  <c r="BY170" i="3"/>
  <c r="BQ168" i="3"/>
  <c r="BR168" i="3" s="1"/>
  <c r="BC217" i="3"/>
  <c r="BD217" i="3" s="1"/>
  <c r="BO217" i="3"/>
  <c r="BP217" i="3" s="1"/>
  <c r="BW216" i="3"/>
  <c r="BX216" i="3" s="1"/>
  <c r="BO169" i="3"/>
  <c r="BP169" i="3" s="1"/>
  <c r="AY218" i="3"/>
  <c r="CC216" i="3"/>
  <c r="CD216" i="3" s="1"/>
  <c r="CB216" i="3"/>
  <c r="BM218" i="3"/>
  <c r="AC194" i="3"/>
  <c r="BY194" i="3" s="1"/>
  <c r="BC169" i="3"/>
  <c r="BE169" i="3" s="1"/>
  <c r="BF169" i="3" s="1"/>
  <c r="BU193" i="3"/>
  <c r="BV193" i="3" s="1"/>
  <c r="CE217" i="3"/>
  <c r="CA217" i="3"/>
  <c r="BC193" i="3"/>
  <c r="BM194" i="3"/>
  <c r="BO193" i="3"/>
  <c r="BQ193" i="3" s="1"/>
  <c r="BR193" i="3" s="1"/>
  <c r="CG193" i="3"/>
  <c r="CF193" i="3"/>
  <c r="BS170" i="3"/>
  <c r="AC218" i="3"/>
  <c r="BY218" i="3" s="1"/>
  <c r="BE192" i="3"/>
  <c r="BF192" i="3" s="1"/>
  <c r="BD192" i="3"/>
  <c r="BG170" i="3"/>
  <c r="AY194" i="3"/>
  <c r="CA169" i="3"/>
  <c r="CE169" i="3"/>
  <c r="BS194" i="3"/>
  <c r="CB168" i="3"/>
  <c r="CC168" i="3"/>
  <c r="CD168" i="3" s="1"/>
  <c r="CA193" i="3"/>
  <c r="CG168" i="3"/>
  <c r="CF168" i="3"/>
  <c r="BW217" i="3"/>
  <c r="BX217" i="3" s="1"/>
  <c r="BM170" i="3"/>
  <c r="AY170" i="3"/>
  <c r="BG194" i="3"/>
  <c r="BG218" i="3"/>
  <c r="BS218" i="3"/>
  <c r="AF219" i="3"/>
  <c r="AV219" i="3"/>
  <c r="AU219" i="3"/>
  <c r="C219" i="3"/>
  <c r="B219" i="3"/>
  <c r="Z219" i="3"/>
  <c r="X219" i="3"/>
  <c r="AN219" i="3"/>
  <c r="U219" i="3"/>
  <c r="P219" i="3"/>
  <c r="AE219" i="3"/>
  <c r="AC219" i="3" s="1"/>
  <c r="AS219" i="3"/>
  <c r="AX219" i="3"/>
  <c r="I219" i="3"/>
  <c r="G219" i="3" s="1"/>
  <c r="AG219" i="3"/>
  <c r="N219" i="3"/>
  <c r="O219" i="3"/>
  <c r="AB219" i="3"/>
  <c r="V219" i="3"/>
  <c r="K219" i="3"/>
  <c r="AT219" i="3"/>
  <c r="F219" i="3"/>
  <c r="T219" i="3"/>
  <c r="J219" i="3"/>
  <c r="AQ219" i="3"/>
  <c r="AR219" i="3"/>
  <c r="L219" i="3"/>
  <c r="AD219" i="3"/>
  <c r="H219" i="3"/>
  <c r="D219" i="3"/>
  <c r="AP219" i="3"/>
  <c r="Y219" i="3"/>
  <c r="E219" i="3"/>
  <c r="W219" i="3"/>
  <c r="AL219" i="3"/>
  <c r="S219" i="3"/>
  <c r="AO219" i="3"/>
  <c r="R219" i="3"/>
  <c r="AK219" i="3"/>
  <c r="AA219" i="3"/>
  <c r="M219" i="3"/>
  <c r="Q219" i="3"/>
  <c r="A196" i="3"/>
  <c r="Q196" i="12" s="1"/>
  <c r="A220" i="3"/>
  <c r="Q220" i="12" s="1"/>
  <c r="AQ195" i="3"/>
  <c r="AA195" i="3"/>
  <c r="O195" i="3"/>
  <c r="D195" i="3"/>
  <c r="AO195" i="3"/>
  <c r="Z195" i="3"/>
  <c r="N195" i="3"/>
  <c r="C195" i="3"/>
  <c r="AN195" i="3"/>
  <c r="X195" i="3"/>
  <c r="L195" i="3"/>
  <c r="B195" i="3"/>
  <c r="W195" i="3"/>
  <c r="K195" i="3"/>
  <c r="AV195" i="3"/>
  <c r="AF195" i="3"/>
  <c r="S195" i="3"/>
  <c r="H195" i="3"/>
  <c r="F195" i="3"/>
  <c r="AU195" i="3"/>
  <c r="AE195" i="3"/>
  <c r="AD195" i="3"/>
  <c r="V195" i="3"/>
  <c r="AR195" i="3"/>
  <c r="R195" i="3"/>
  <c r="P195" i="3"/>
  <c r="J195" i="3"/>
  <c r="Y195" i="3"/>
  <c r="AP195" i="3"/>
  <c r="AX195" i="3"/>
  <c r="E195" i="3"/>
  <c r="M195" i="3"/>
  <c r="U195" i="3"/>
  <c r="Q195" i="3"/>
  <c r="T195" i="3"/>
  <c r="AL195" i="3"/>
  <c r="AG195" i="3"/>
  <c r="AB195" i="3"/>
  <c r="AT195" i="3"/>
  <c r="I195" i="3"/>
  <c r="G195" i="3" s="1"/>
  <c r="AS195" i="3"/>
  <c r="AK195" i="3"/>
  <c r="H171" i="3"/>
  <c r="P171" i="3"/>
  <c r="F171" i="3"/>
  <c r="Z171" i="3"/>
  <c r="AN171" i="3"/>
  <c r="AV171" i="3"/>
  <c r="T171" i="3"/>
  <c r="AB171" i="3"/>
  <c r="AU171" i="3"/>
  <c r="AX171" i="3"/>
  <c r="L171" i="3"/>
  <c r="AA171" i="3"/>
  <c r="AL171" i="3"/>
  <c r="AT171" i="3"/>
  <c r="I171" i="3"/>
  <c r="G171" i="3" s="1"/>
  <c r="O171" i="3"/>
  <c r="AG171" i="3"/>
  <c r="J171" i="3"/>
  <c r="N171" i="3"/>
  <c r="AD171" i="3"/>
  <c r="X171" i="3"/>
  <c r="AO171" i="3"/>
  <c r="AF171" i="3"/>
  <c r="R171" i="3"/>
  <c r="V171" i="3"/>
  <c r="K171" i="3"/>
  <c r="AS171" i="3"/>
  <c r="S171" i="3"/>
  <c r="D171" i="3"/>
  <c r="M171" i="3"/>
  <c r="Y171" i="3"/>
  <c r="B171" i="3"/>
  <c r="AK171" i="3"/>
  <c r="AP171" i="3"/>
  <c r="AE171" i="3"/>
  <c r="E171" i="3"/>
  <c r="AQ171" i="3"/>
  <c r="C171" i="3"/>
  <c r="U171" i="3"/>
  <c r="W171" i="3"/>
  <c r="AR171" i="3"/>
  <c r="Q171" i="3"/>
  <c r="BB171" i="3" l="1"/>
  <c r="BA195" i="3"/>
  <c r="BA171" i="3"/>
  <c r="BW169" i="3"/>
  <c r="BX169" i="3" s="1"/>
  <c r="BZ171" i="3"/>
  <c r="BT219" i="3"/>
  <c r="BH219" i="3"/>
  <c r="BN195" i="3"/>
  <c r="BN171" i="3"/>
  <c r="BN219" i="3"/>
  <c r="BT195" i="3"/>
  <c r="BZ195" i="3"/>
  <c r="BZ219" i="3"/>
  <c r="BH195" i="3"/>
  <c r="BH171" i="3"/>
  <c r="BT171" i="3"/>
  <c r="BB195" i="3"/>
  <c r="BB219" i="3"/>
  <c r="BA219" i="3"/>
  <c r="AW196" i="3"/>
  <c r="AM196" i="3" s="1"/>
  <c r="AW220" i="3"/>
  <c r="BZ220" i="3" s="1"/>
  <c r="BO194" i="3"/>
  <c r="BP194" i="3" s="1"/>
  <c r="BJ217" i="3"/>
  <c r="CE218" i="3"/>
  <c r="CG218" i="3" s="1"/>
  <c r="BM219" i="3"/>
  <c r="BO219" i="3" s="1"/>
  <c r="BU194" i="3"/>
  <c r="BW194" i="3" s="1"/>
  <c r="BX194" i="3" s="1"/>
  <c r="BJ193" i="3"/>
  <c r="BJ169" i="3"/>
  <c r="AH219" i="3"/>
  <c r="AI219" i="3" s="1"/>
  <c r="BO218" i="3"/>
  <c r="BP218" i="3" s="1"/>
  <c r="BE217" i="3"/>
  <c r="BF217" i="3" s="1"/>
  <c r="BU218" i="3"/>
  <c r="BV218" i="3" s="1"/>
  <c r="BI218" i="3"/>
  <c r="BK218" i="3" s="1"/>
  <c r="BL218" i="3" s="1"/>
  <c r="CA218" i="3"/>
  <c r="AH195" i="3"/>
  <c r="AI195" i="3" s="1"/>
  <c r="BQ217" i="3"/>
  <c r="BR217" i="3" s="1"/>
  <c r="AH171" i="3"/>
  <c r="AI171" i="3" s="1"/>
  <c r="BQ169" i="3"/>
  <c r="BR169" i="3" s="1"/>
  <c r="BP193" i="3"/>
  <c r="BD169" i="3"/>
  <c r="BW193" i="3"/>
  <c r="BX193" i="3" s="1"/>
  <c r="BM171" i="3"/>
  <c r="BO171" i="3" s="1"/>
  <c r="AY219" i="3"/>
  <c r="CE219" i="3" s="1"/>
  <c r="CF219" i="3" s="1"/>
  <c r="BY219" i="3"/>
  <c r="CC217" i="3"/>
  <c r="CD217" i="3" s="1"/>
  <c r="CB217" i="3"/>
  <c r="BC194" i="3"/>
  <c r="BD194" i="3" s="1"/>
  <c r="CF217" i="3"/>
  <c r="CG217" i="3"/>
  <c r="BD193" i="3"/>
  <c r="BE193" i="3"/>
  <c r="BF193" i="3" s="1"/>
  <c r="BU170" i="3"/>
  <c r="BV170" i="3" s="1"/>
  <c r="BS171" i="3"/>
  <c r="AC171" i="3"/>
  <c r="BY171" i="3" s="1"/>
  <c r="BI194" i="3"/>
  <c r="BK194" i="3" s="1"/>
  <c r="BL194" i="3" s="1"/>
  <c r="CB169" i="3"/>
  <c r="CC169" i="3"/>
  <c r="CD169" i="3" s="1"/>
  <c r="CB193" i="3"/>
  <c r="CC193" i="3"/>
  <c r="CD193" i="3" s="1"/>
  <c r="BG171" i="3"/>
  <c r="AC195" i="3"/>
  <c r="BY195" i="3" s="1"/>
  <c r="AY195" i="3"/>
  <c r="CG169" i="3"/>
  <c r="CF169" i="3"/>
  <c r="BM195" i="3"/>
  <c r="BC219" i="3"/>
  <c r="BC170" i="3"/>
  <c r="BS219" i="3"/>
  <c r="BS195" i="3"/>
  <c r="BG219" i="3"/>
  <c r="CA170" i="3"/>
  <c r="CE170" i="3"/>
  <c r="BC218" i="3"/>
  <c r="AY171" i="3"/>
  <c r="BG195" i="3"/>
  <c r="CA194" i="3"/>
  <c r="CE194" i="3"/>
  <c r="BO170" i="3"/>
  <c r="BI170" i="3"/>
  <c r="AE220" i="3"/>
  <c r="BH220" i="3" s="1"/>
  <c r="B220" i="3"/>
  <c r="AK220" i="3"/>
  <c r="AL220" i="3"/>
  <c r="AD220" i="3"/>
  <c r="AP220" i="3"/>
  <c r="AB220" i="3"/>
  <c r="AA220" i="3"/>
  <c r="V220" i="3"/>
  <c r="AU220" i="3"/>
  <c r="S220" i="3"/>
  <c r="Q220" i="3"/>
  <c r="AO220" i="3"/>
  <c r="AN220" i="3"/>
  <c r="AX220" i="3"/>
  <c r="I220" i="3"/>
  <c r="G220" i="3" s="1"/>
  <c r="H220" i="3"/>
  <c r="AF220" i="3"/>
  <c r="AG220" i="3"/>
  <c r="T220" i="3"/>
  <c r="Z220" i="3"/>
  <c r="N220" i="3"/>
  <c r="F220" i="3"/>
  <c r="AV220" i="3"/>
  <c r="M220" i="3"/>
  <c r="AT220" i="3"/>
  <c r="E220" i="3"/>
  <c r="C220" i="3"/>
  <c r="X220" i="3"/>
  <c r="U220" i="3"/>
  <c r="R220" i="3"/>
  <c r="AR220" i="3"/>
  <c r="J220" i="3"/>
  <c r="O220" i="3"/>
  <c r="K220" i="3"/>
  <c r="AS220" i="3"/>
  <c r="AQ220" i="3"/>
  <c r="W220" i="3"/>
  <c r="D220" i="3"/>
  <c r="P220" i="3"/>
  <c r="Y220" i="3"/>
  <c r="L220" i="3"/>
  <c r="A221" i="3"/>
  <c r="Q221" i="12" s="1"/>
  <c r="AT196" i="3"/>
  <c r="AF196" i="3"/>
  <c r="T196" i="3"/>
  <c r="AS196" i="3"/>
  <c r="AE196" i="3"/>
  <c r="BN196" i="3" s="1"/>
  <c r="S196" i="3"/>
  <c r="E196" i="3"/>
  <c r="AR196" i="3"/>
  <c r="P196" i="3"/>
  <c r="D196" i="3"/>
  <c r="AO196" i="3"/>
  <c r="AB196" i="3"/>
  <c r="O196" i="3"/>
  <c r="C196" i="3"/>
  <c r="AL196" i="3"/>
  <c r="X196" i="3"/>
  <c r="L196" i="3"/>
  <c r="U196" i="3"/>
  <c r="M196" i="3"/>
  <c r="AV196" i="3"/>
  <c r="K196" i="3"/>
  <c r="AA196" i="3"/>
  <c r="W196" i="3"/>
  <c r="AN196" i="3"/>
  <c r="H196" i="3"/>
  <c r="AK196" i="3"/>
  <c r="B196" i="3"/>
  <c r="F196" i="3"/>
  <c r="V196" i="3"/>
  <c r="AD196" i="3"/>
  <c r="Q196" i="3"/>
  <c r="N196" i="3"/>
  <c r="Y196" i="3"/>
  <c r="AU196" i="3"/>
  <c r="AG196" i="3"/>
  <c r="J196" i="3"/>
  <c r="AX196" i="3"/>
  <c r="Z196" i="3"/>
  <c r="AQ196" i="3"/>
  <c r="I196" i="3"/>
  <c r="G196" i="3" s="1"/>
  <c r="R196" i="3"/>
  <c r="AP196" i="3"/>
  <c r="AM220" i="3" l="1"/>
  <c r="CF218" i="3"/>
  <c r="BC195" i="3"/>
  <c r="BN220" i="3"/>
  <c r="BV194" i="3"/>
  <c r="BZ196" i="3"/>
  <c r="BH196" i="3"/>
  <c r="BA220" i="3"/>
  <c r="BA196" i="3"/>
  <c r="BQ218" i="3"/>
  <c r="BR218" i="3" s="1"/>
  <c r="BQ194" i="3"/>
  <c r="BR194" i="3" s="1"/>
  <c r="BT220" i="3"/>
  <c r="BT196" i="3"/>
  <c r="BB220" i="3"/>
  <c r="BB196" i="3"/>
  <c r="AW221" i="3"/>
  <c r="BZ221" i="3" s="1"/>
  <c r="Q229" i="12"/>
  <c r="BW218" i="3"/>
  <c r="BX218" i="3" s="1"/>
  <c r="BW170" i="3"/>
  <c r="BX170" i="3" s="1"/>
  <c r="BC171" i="3"/>
  <c r="BJ218" i="3"/>
  <c r="CG219" i="3"/>
  <c r="CA219" i="3"/>
  <c r="CC219" i="3" s="1"/>
  <c r="CD219" i="3" s="1"/>
  <c r="AH220" i="3"/>
  <c r="AI220" i="3" s="1"/>
  <c r="CB218" i="3"/>
  <c r="CC218" i="3"/>
  <c r="CD218" i="3" s="1"/>
  <c r="BJ194" i="3"/>
  <c r="BG220" i="3"/>
  <c r="BI219" i="3"/>
  <c r="BK219" i="3" s="1"/>
  <c r="BL219" i="3" s="1"/>
  <c r="AC220" i="3"/>
  <c r="BY220" i="3" s="1"/>
  <c r="BI195" i="3"/>
  <c r="BK195" i="3" s="1"/>
  <c r="BL195" i="3" s="1"/>
  <c r="BU171" i="3"/>
  <c r="BV171" i="3" s="1"/>
  <c r="BE194" i="3"/>
  <c r="BF194" i="3" s="1"/>
  <c r="AY220" i="3"/>
  <c r="BM196" i="3"/>
  <c r="BS220" i="3"/>
  <c r="BO195" i="3"/>
  <c r="BQ195" i="3" s="1"/>
  <c r="BR195" i="3" s="1"/>
  <c r="BM220" i="3"/>
  <c r="BU219" i="3"/>
  <c r="BV219" i="3" s="1"/>
  <c r="BD171" i="3"/>
  <c r="BE171" i="3"/>
  <c r="BF171" i="3" s="1"/>
  <c r="BP171" i="3"/>
  <c r="BQ171" i="3"/>
  <c r="BR171" i="3" s="1"/>
  <c r="BP219" i="3"/>
  <c r="BQ219" i="3"/>
  <c r="BR219" i="3" s="1"/>
  <c r="AH196" i="3"/>
  <c r="AI196" i="3" s="1"/>
  <c r="BD195" i="3"/>
  <c r="BE195" i="3"/>
  <c r="BF195" i="3" s="1"/>
  <c r="CF170" i="3"/>
  <c r="CG170" i="3"/>
  <c r="BP170" i="3"/>
  <c r="BQ170" i="3"/>
  <c r="BR170" i="3" s="1"/>
  <c r="BE218" i="3"/>
  <c r="BF218" i="3" s="1"/>
  <c r="BD218" i="3"/>
  <c r="BE219" i="3"/>
  <c r="BF219" i="3" s="1"/>
  <c r="BD219" i="3"/>
  <c r="CE195" i="3"/>
  <c r="AC196" i="3"/>
  <c r="BY196" i="3" s="1"/>
  <c r="CG194" i="3"/>
  <c r="CF194" i="3"/>
  <c r="CC170" i="3"/>
  <c r="CD170" i="3" s="1"/>
  <c r="CB170" i="3"/>
  <c r="BD170" i="3"/>
  <c r="BE170" i="3"/>
  <c r="BF170" i="3" s="1"/>
  <c r="CA195" i="3"/>
  <c r="CC194" i="3"/>
  <c r="CD194" i="3" s="1"/>
  <c r="CB194" i="3"/>
  <c r="BI171" i="3"/>
  <c r="BS196" i="3"/>
  <c r="BU195" i="3"/>
  <c r="CA171" i="3"/>
  <c r="CE171" i="3"/>
  <c r="BG196" i="3"/>
  <c r="AY196" i="3"/>
  <c r="BK170" i="3"/>
  <c r="BL170" i="3" s="1"/>
  <c r="BJ170" i="3"/>
  <c r="AO221" i="3"/>
  <c r="B221" i="3"/>
  <c r="W221" i="3"/>
  <c r="Q221" i="3"/>
  <c r="AU221" i="3"/>
  <c r="T221" i="3"/>
  <c r="AR221" i="3"/>
  <c r="O221" i="3"/>
  <c r="E221" i="3"/>
  <c r="V221" i="3"/>
  <c r="F221" i="3"/>
  <c r="AG221" i="3"/>
  <c r="I221" i="3"/>
  <c r="G221" i="3" s="1"/>
  <c r="S221" i="3"/>
  <c r="AQ221" i="3"/>
  <c r="AX221" i="3"/>
  <c r="X221" i="3"/>
  <c r="K221" i="3"/>
  <c r="Z221" i="3"/>
  <c r="AV221" i="3"/>
  <c r="AL221" i="3"/>
  <c r="L221" i="3"/>
  <c r="D221" i="3"/>
  <c r="N221" i="3"/>
  <c r="C221" i="3"/>
  <c r="AT221" i="3"/>
  <c r="AE221" i="3"/>
  <c r="BN221" i="3" s="1"/>
  <c r="AP221" i="3"/>
  <c r="AF221" i="3"/>
  <c r="AD221" i="3"/>
  <c r="AS221" i="3"/>
  <c r="R221" i="3"/>
  <c r="J221" i="3"/>
  <c r="Y221" i="3"/>
  <c r="H221" i="3"/>
  <c r="AK221" i="3"/>
  <c r="AB221" i="3"/>
  <c r="AA221" i="3"/>
  <c r="P221" i="3"/>
  <c r="M221" i="3"/>
  <c r="U221" i="3"/>
  <c r="AN221" i="3"/>
  <c r="AN228" i="3" s="1"/>
  <c r="H35" i="2" s="1"/>
  <c r="L41" i="2" l="1"/>
  <c r="H34" i="2"/>
  <c r="AM221" i="3"/>
  <c r="BT221" i="3"/>
  <c r="BB221" i="3"/>
  <c r="BB228" i="3" s="1"/>
  <c r="BA221" i="3"/>
  <c r="BH221" i="3"/>
  <c r="BU220" i="3"/>
  <c r="BV220" i="3" s="1"/>
  <c r="H36" i="2"/>
  <c r="BP195" i="3"/>
  <c r="CB219" i="3"/>
  <c r="Q228" i="12"/>
  <c r="C27" i="2" s="1"/>
  <c r="BJ195" i="3"/>
  <c r="BJ219" i="3"/>
  <c r="BM221" i="3"/>
  <c r="BU196" i="3"/>
  <c r="BV196" i="3" s="1"/>
  <c r="BO220" i="3"/>
  <c r="BQ220" i="3" s="1"/>
  <c r="BR220" i="3" s="1"/>
  <c r="CA220" i="3"/>
  <c r="CC220" i="3" s="1"/>
  <c r="CD220" i="3" s="1"/>
  <c r="AH222" i="3"/>
  <c r="AI222" i="3" s="1"/>
  <c r="BW219" i="3"/>
  <c r="BX219" i="3" s="1"/>
  <c r="CE220" i="3"/>
  <c r="CG220" i="3" s="1"/>
  <c r="BC220" i="3"/>
  <c r="BD220" i="3" s="1"/>
  <c r="AH221" i="3"/>
  <c r="AI221" i="3" s="1"/>
  <c r="BI220" i="3"/>
  <c r="BK220" i="3" s="1"/>
  <c r="BL220" i="3" s="1"/>
  <c r="BO196" i="3"/>
  <c r="BP196" i="3" s="1"/>
  <c r="BW171" i="3"/>
  <c r="BX171" i="3" s="1"/>
  <c r="AY221" i="3"/>
  <c r="BC196" i="3"/>
  <c r="BD196" i="3" s="1"/>
  <c r="BM228" i="3"/>
  <c r="BW220" i="3"/>
  <c r="BX220" i="3" s="1"/>
  <c r="BN228" i="3"/>
  <c r="BV195" i="3"/>
  <c r="BW195" i="3"/>
  <c r="BX195" i="3" s="1"/>
  <c r="AC221" i="3"/>
  <c r="BH228" i="3"/>
  <c r="BS221" i="3"/>
  <c r="BG221" i="3"/>
  <c r="CF171" i="3"/>
  <c r="CG171" i="3"/>
  <c r="BW196" i="3"/>
  <c r="BX196" i="3" s="1"/>
  <c r="BT228" i="3"/>
  <c r="CA196" i="3"/>
  <c r="CE196" i="3"/>
  <c r="CC171" i="3"/>
  <c r="CD171" i="3" s="1"/>
  <c r="CB171" i="3"/>
  <c r="BE220" i="3"/>
  <c r="BF220" i="3" s="1"/>
  <c r="BI196" i="3"/>
  <c r="BK171" i="3"/>
  <c r="BL171" i="3" s="1"/>
  <c r="BJ171" i="3"/>
  <c r="CB195" i="3"/>
  <c r="CC195" i="3"/>
  <c r="CD195" i="3" s="1"/>
  <c r="CF195" i="3"/>
  <c r="CG195" i="3"/>
  <c r="BJ220" i="3" l="1"/>
  <c r="E36" i="2"/>
  <c r="L42" i="2" s="1"/>
  <c r="CF220" i="3"/>
  <c r="M41" i="2"/>
  <c r="BP220" i="3"/>
  <c r="CB220" i="3"/>
  <c r="CC222" i="3"/>
  <c r="CD222" i="3" s="1"/>
  <c r="CG222" i="3"/>
  <c r="BK222" i="3"/>
  <c r="BL222" i="3" s="1"/>
  <c r="AH223" i="3"/>
  <c r="BW222" i="3"/>
  <c r="BX222" i="3" s="1"/>
  <c r="BQ222" i="3"/>
  <c r="BR222" i="3" s="1"/>
  <c r="BE222" i="3"/>
  <c r="BF222" i="3" s="1"/>
  <c r="BQ196" i="3"/>
  <c r="BR196" i="3" s="1"/>
  <c r="BE196" i="3"/>
  <c r="BF196" i="3" s="1"/>
  <c r="BZ228" i="3"/>
  <c r="BO221" i="3"/>
  <c r="BP221" i="3" s="1"/>
  <c r="CE221" i="3"/>
  <c r="CF221" i="3" s="1"/>
  <c r="BK196" i="3"/>
  <c r="BL196" i="3" s="1"/>
  <c r="BJ196" i="3"/>
  <c r="CC196" i="3"/>
  <c r="CD196" i="3" s="1"/>
  <c r="CB196" i="3"/>
  <c r="CF196" i="3"/>
  <c r="CG196" i="3"/>
  <c r="BY221" i="3"/>
  <c r="BG228" i="3"/>
  <c r="BI221" i="3"/>
  <c r="BO228" i="3"/>
  <c r="BP228" i="3" s="1"/>
  <c r="BA228" i="3"/>
  <c r="BC221" i="3"/>
  <c r="BS228" i="3"/>
  <c r="BU221" i="3"/>
  <c r="M42" i="2" l="1"/>
  <c r="G42" i="2"/>
  <c r="G41" i="2" s="1"/>
  <c r="BQ223" i="3"/>
  <c r="BR223" i="3" s="1"/>
  <c r="AI223" i="3"/>
  <c r="BK223" i="3"/>
  <c r="BL223" i="3" s="1"/>
  <c r="CG223" i="3"/>
  <c r="BW223" i="3"/>
  <c r="BX223" i="3" s="1"/>
  <c r="BE223" i="3"/>
  <c r="BF223" i="3" s="1"/>
  <c r="CC223" i="3"/>
  <c r="CD223" i="3" s="1"/>
  <c r="BQ221" i="3"/>
  <c r="BR221" i="3" s="1"/>
  <c r="CE228" i="3"/>
  <c r="CG221" i="3"/>
  <c r="CG228" i="3" s="1"/>
  <c r="BY228" i="3"/>
  <c r="CA221" i="3"/>
  <c r="BI228" i="3"/>
  <c r="BJ228" i="3" s="1"/>
  <c r="BJ221" i="3"/>
  <c r="BK221" i="3"/>
  <c r="BU228" i="3"/>
  <c r="BV228" i="3" s="1"/>
  <c r="BW221" i="3"/>
  <c r="BV221" i="3"/>
  <c r="BC228" i="3"/>
  <c r="BD228" i="3" s="1"/>
  <c r="BD221" i="3"/>
  <c r="BE221" i="3"/>
  <c r="BQ228" i="3" l="1"/>
  <c r="BR228" i="3" s="1"/>
  <c r="BK228" i="3"/>
  <c r="BL228" i="3" s="1"/>
  <c r="BL221" i="3"/>
  <c r="BE228" i="3"/>
  <c r="H38" i="2" s="1"/>
  <c r="H39" i="2" s="1"/>
  <c r="BF221" i="3"/>
  <c r="CA228" i="3"/>
  <c r="CB228" i="3" s="1"/>
  <c r="CB221" i="3"/>
  <c r="CC221" i="3"/>
  <c r="BW228" i="3"/>
  <c r="BX228" i="3" s="1"/>
  <c r="BX221" i="3"/>
  <c r="BF228" i="3" l="1"/>
  <c r="CC228" i="3"/>
  <c r="CD228" i="3" s="1"/>
  <c r="CD221" i="3"/>
  <c r="K38" i="2" l="1"/>
  <c r="F41" i="2" l="1"/>
  <c r="F42" i="2" s="1"/>
</calcChain>
</file>

<file path=xl/sharedStrings.xml><?xml version="1.0" encoding="utf-8"?>
<sst xmlns="http://schemas.openxmlformats.org/spreadsheetml/2006/main" count="623" uniqueCount="364">
  <si>
    <t xml:space="preserve">School System Name: </t>
  </si>
  <si>
    <t>FEI# (Federal Tax ID):</t>
  </si>
  <si>
    <t>Mailing Address:</t>
  </si>
  <si>
    <t xml:space="preserve">Street Address: </t>
  </si>
  <si>
    <t xml:space="preserve">Phone Number: </t>
  </si>
  <si>
    <t>Email:</t>
  </si>
  <si>
    <t>Number of buses to be replaced:</t>
  </si>
  <si>
    <t>Signature of Transportation Director or other Authorized Official</t>
  </si>
  <si>
    <t>Average cost per bus:</t>
  </si>
  <si>
    <t>Counter</t>
  </si>
  <si>
    <t>Fiscal Year of EPA Funds Used:</t>
  </si>
  <si>
    <t>Fleet Owner:</t>
  </si>
  <si>
    <t>Vehicle or Engine Group Type:</t>
  </si>
  <si>
    <t>Primary Place of Performance</t>
  </si>
  <si>
    <t xml:space="preserve"> - State(s):</t>
  </si>
  <si>
    <t xml:space="preserve"> - County:</t>
  </si>
  <si>
    <t xml:space="preserve"> - City:</t>
  </si>
  <si>
    <t xml:space="preserve"> - Zip Code:</t>
  </si>
  <si>
    <t>Target Fleet:</t>
  </si>
  <si>
    <t>Vehicle Class or Equipment Type:</t>
  </si>
  <si>
    <t>Quantity:</t>
  </si>
  <si>
    <t>Vehicle Identification Number(s):</t>
  </si>
  <si>
    <t>Vehicle Make:</t>
  </si>
  <si>
    <t>Vehicle Model:</t>
  </si>
  <si>
    <t>Vehicle Model Year:</t>
  </si>
  <si>
    <t>Engine Serial Number(s):</t>
  </si>
  <si>
    <t>Engine Make:</t>
  </si>
  <si>
    <t>Engine Model:</t>
  </si>
  <si>
    <t>Engine Model Year:</t>
  </si>
  <si>
    <t>Engine Tier:</t>
  </si>
  <si>
    <t>Engine Number of Cylinders:</t>
  </si>
  <si>
    <t>Engine Family Name:</t>
  </si>
  <si>
    <t>Engine Fuel Type:</t>
  </si>
  <si>
    <t>Annual Usage Rate:</t>
  </si>
  <si>
    <t>Annual Miles Traveled:</t>
  </si>
  <si>
    <t>Annual Idling Hours:</t>
  </si>
  <si>
    <t>Annual Hoteling Hours:</t>
  </si>
  <si>
    <t>Remaining Life:</t>
  </si>
  <si>
    <t>Normal Attrition Year:</t>
  </si>
  <si>
    <t>Year of Upgrade Action:</t>
  </si>
  <si>
    <t>Upgrade Type:</t>
  </si>
  <si>
    <t>Upgrade Labor Cost Per Unit:</t>
  </si>
  <si>
    <t>New Engine Model Year:</t>
  </si>
  <si>
    <t>New Engine Tier:</t>
  </si>
  <si>
    <t>New Engine Duty Cycle:</t>
  </si>
  <si>
    <t>New Engine Cylinder Displacement:</t>
  </si>
  <si>
    <t>New Engine Number of Cylinders:</t>
  </si>
  <si>
    <t>New Engine Family Name:</t>
  </si>
  <si>
    <t>New Engine Fuel Type:</t>
  </si>
  <si>
    <t>Annual Hoteling Hours Reduced:</t>
  </si>
  <si>
    <t>ULSD</t>
  </si>
  <si>
    <t xml:space="preserve"> </t>
  </si>
  <si>
    <t>State DERA Program FY:</t>
  </si>
  <si>
    <t xml:space="preserve">County: </t>
  </si>
  <si>
    <t>City</t>
  </si>
  <si>
    <t>Zip Code:</t>
  </si>
  <si>
    <t>New Bus Number</t>
  </si>
  <si>
    <t>Cost of New Bus:</t>
  </si>
  <si>
    <t>Engine Horsepower (HP):</t>
  </si>
  <si>
    <t>Engine Cylinder Displacement (L):</t>
  </si>
  <si>
    <t>New Engine Horsepower (HP):</t>
  </si>
  <si>
    <t>Fuel Type</t>
  </si>
  <si>
    <t>CNG</t>
  </si>
  <si>
    <t>Electric</t>
  </si>
  <si>
    <t>Eligible Old Diesel Engines MY</t>
  </si>
  <si>
    <t>ULSD (Diesel)</t>
  </si>
  <si>
    <t>LPG (Propane)</t>
  </si>
  <si>
    <t>New vs. Old Split</t>
  </si>
  <si>
    <t>Data &amp; Calculation Split</t>
  </si>
  <si>
    <t>YM Engine</t>
  </si>
  <si>
    <t>PM2.5</t>
  </si>
  <si>
    <t>HC</t>
  </si>
  <si>
    <t>CO</t>
  </si>
  <si>
    <t>Baseline for Upgraded Vehicles/Engines</t>
  </si>
  <si>
    <t>Amount Reduced After Upgrades</t>
  </si>
  <si>
    <t>Percent Reduced After Upgrades</t>
  </si>
  <si>
    <r>
      <t>NO</t>
    </r>
    <r>
      <rPr>
        <b/>
        <vertAlign val="subscript"/>
        <sz val="11"/>
        <color rgb="FF212121"/>
        <rFont val="Calibri"/>
        <family val="2"/>
        <scheme val="minor"/>
      </rPr>
      <t>x</t>
    </r>
  </si>
  <si>
    <r>
      <t>CO</t>
    </r>
    <r>
      <rPr>
        <b/>
        <vertAlign val="subscript"/>
        <sz val="11"/>
        <color rgb="FF212121"/>
        <rFont val="Calibri"/>
        <family val="2"/>
        <scheme val="minor"/>
      </rPr>
      <t>2</t>
    </r>
  </si>
  <si>
    <t>gal</t>
  </si>
  <si>
    <t>old</t>
  </si>
  <si>
    <t>new</t>
  </si>
  <si>
    <t>Miles/yr</t>
  </si>
  <si>
    <t>gal/yr</t>
  </si>
  <si>
    <t>old&amp;new</t>
  </si>
  <si>
    <t>Fuel</t>
  </si>
  <si>
    <t>NOx (tons/mi)</t>
  </si>
  <si>
    <t>PM2.5 (tons/mi)</t>
  </si>
  <si>
    <t>HC (tons/mi)</t>
  </si>
  <si>
    <t>CO (tons/mi)</t>
  </si>
  <si>
    <t>CO2 (tons/gal)</t>
  </si>
  <si>
    <t>lbs</t>
  </si>
  <si>
    <t>Reduction Bus NOx Emissions (tons/yr)</t>
  </si>
  <si>
    <t>New Bus NOx Emissions (tons/yr)</t>
  </si>
  <si>
    <t>Old Bus NOx Emissions (tons/yr)</t>
  </si>
  <si>
    <t>Percent NOx Reduction</t>
  </si>
  <si>
    <t>Cost Effectivnes of HC Reduction ($/ton)</t>
  </si>
  <si>
    <t>Cost Effectivnes of NOx Reduction ($/ton)</t>
  </si>
  <si>
    <t>Cost Effectivnes of CO2 Reduction ($/ton)</t>
  </si>
  <si>
    <t>Percent CO2 Reduction</t>
  </si>
  <si>
    <t>Reduction Bus CO2 Emissions (tons/yr)</t>
  </si>
  <si>
    <t>New Bus CO2 Emissions (tons/yr)</t>
  </si>
  <si>
    <t>Old Bus CO Emissions (tons/yr)</t>
  </si>
  <si>
    <t>Cost Effectivnes of CO Reduction ($/ton)</t>
  </si>
  <si>
    <t>Percent CO Reduction</t>
  </si>
  <si>
    <t>Reduction Bus CO Emissions (tons/yr)</t>
  </si>
  <si>
    <t>New Bus CO Emissions (tons/yr)</t>
  </si>
  <si>
    <t>Old Bus PM2.5 Emissions (tons/yr)</t>
  </si>
  <si>
    <t>New Bus PM2.5 Emissions (tons/yr)</t>
  </si>
  <si>
    <t>Reduction Bus PM2.5 Emissions (tons/yr)</t>
  </si>
  <si>
    <t>Percent PM2.5 Reduction</t>
  </si>
  <si>
    <t>Cost Effectivnes of PM2.5 Reduction ($/ton)</t>
  </si>
  <si>
    <t>Old Bus HC Emissions (tons/yr)</t>
  </si>
  <si>
    <t>New Bus HC Emissions (tons/yr)</t>
  </si>
  <si>
    <t>Reduction Bus HC Emissions (tons/yr)</t>
  </si>
  <si>
    <t>Percent HC Reduction</t>
  </si>
  <si>
    <t>Old Bus CO2 Emissions (tons/yr)</t>
  </si>
  <si>
    <t>Diesel Fuel Reduction (gal/yr)</t>
  </si>
  <si>
    <t>Percent Diesel Fuel Reduction</t>
  </si>
  <si>
    <t>Current Bus in Use</t>
  </si>
  <si>
    <t>New Bus</t>
  </si>
  <si>
    <t>Air Quality Benefits &amp; Fuel Reduction</t>
  </si>
  <si>
    <t>Lifetime PM2.5 Reduction (tons)</t>
  </si>
  <si>
    <t>Lifetime NOx Reduction (tons)</t>
  </si>
  <si>
    <t>Lifetime Diesel Fuel Reduction (gal)</t>
  </si>
  <si>
    <t>Lifetime CO2 Reduction (tons)</t>
  </si>
  <si>
    <t>Lifetime CO Reduction (tons)</t>
  </si>
  <si>
    <t>Lifetime HC Reduction (tons)</t>
  </si>
  <si>
    <t>Total</t>
  </si>
  <si>
    <t>Lifetime NOx</t>
  </si>
  <si>
    <t>tons</t>
  </si>
  <si>
    <t>$/ton</t>
  </si>
  <si>
    <t>County</t>
  </si>
  <si>
    <t>FIPS code[9]</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</si>
  <si>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</si>
  <si>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</si>
  <si>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</si>
  <si>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</si>
  <si>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</si>
  <si>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</si>
  <si>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</si>
  <si>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</si>
  <si>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</si>
  <si>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</si>
  <si>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</si>
  <si>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</si>
  <si>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</si>
  <si>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</si>
  <si>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</si>
  <si>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</si>
  <si>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</si>
  <si>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</si>
  <si>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</si>
  <si>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</si>
  <si>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</si>
  <si>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</si>
  <si>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</si>
  <si>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</si>
  <si>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</si>
  <si>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</si>
  <si>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</si>
  <si>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</si>
  <si>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</si>
  <si>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</si>
  <si>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</si>
  <si>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</si>
  <si>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</si>
  <si>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</si>
  <si>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</si>
  <si>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</si>
  <si>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</si>
  <si>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</si>
  <si>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</si>
  <si>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</si>
  <si>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</si>
  <si>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</si>
  <si>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</si>
  <si>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</si>
  <si>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</si>
  <si>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</si>
  <si>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</si>
  <si>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</si>
  <si>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</si>
  <si>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</si>
  <si>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</si>
  <si>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</si>
  <si>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</si>
  <si>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</si>
  <si>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</si>
  <si>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</si>
  <si>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</si>
  <si>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</si>
  <si>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</si>
  <si>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</si>
  <si>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</si>
  <si>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</si>
  <si>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</si>
  <si>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</si>
  <si>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</si>
  <si>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</si>
  <si>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</si>
  <si>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</si>
  <si>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</si>
  <si>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</si>
  <si>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</si>
  <si>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</si>
  <si>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</si>
  <si>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</si>
  <si>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</si>
  <si>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</si>
  <si>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</si>
  <si>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</si>
  <si>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</si>
  <si>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</si>
  <si>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</si>
  <si>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</si>
  <si>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</si>
  <si>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</si>
  <si>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</si>
  <si>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</si>
  <si>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</si>
  <si>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</si>
  <si>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</si>
  <si>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</si>
  <si>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</si>
  <si>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</si>
  <si>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</si>
  <si>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</si>
  <si>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</si>
  <si>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</si>
  <si>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</si>
  <si>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</si>
  <si>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</si>
  <si>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</si>
  <si>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</si>
  <si>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</si>
  <si>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</si>
  <si>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</si>
  <si>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</si>
  <si>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</si>
  <si>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</si>
  <si>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</si>
  <si>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</si>
  <si>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</si>
  <si>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</si>
  <si>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</si>
  <si>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</si>
  <si>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</si>
  <si>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</si>
  <si>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</si>
  <si>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</si>
  <si>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</si>
  <si>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</si>
  <si>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</si>
  <si>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</si>
  <si>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</si>
  <si>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</si>
  <si>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</si>
  <si>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</si>
  <si>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</si>
  <si>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</si>
  <si>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</si>
  <si>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</si>
  <si>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</si>
  <si>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</si>
  <si>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</si>
  <si>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</si>
  <si>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</si>
  <si>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</si>
  <si>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</si>
  <si>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</si>
  <si>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</si>
  <si>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</si>
  <si>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</si>
  <si>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</si>
  <si>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</si>
  <si>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</si>
  <si>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</si>
  <si>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</si>
  <si>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</si>
  <si>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</si>
  <si>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</si>
  <si>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</si>
  <si>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</si>
  <si>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</si>
  <si>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</si>
  <si>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</si>
  <si>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</si>
  <si>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</si>
  <si>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</si>
  <si>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</si>
  <si>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</si>
  <si>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</si>
  <si>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 xml:space="preserve">Director or Other Authorized Official: </t>
  </si>
  <si>
    <t>The EF data in this sheet is from EPA's DEQ (March 2020).  High miles and high fuel use in DEQ avoids introducing error caused by rounding.</t>
  </si>
  <si>
    <t xml:space="preserve">Total Project Cost: </t>
  </si>
  <si>
    <t xml:space="preserve">Lifetime NOx Emission Reductions for Project: </t>
  </si>
  <si>
    <t>Years</t>
  </si>
  <si>
    <t>Current (old) Bus in Use</t>
  </si>
  <si>
    <t>Annual Miles Traveled</t>
  </si>
  <si>
    <t>Yes</t>
  </si>
  <si>
    <t>No</t>
  </si>
  <si>
    <t>Odometer</t>
  </si>
  <si>
    <t>Retention Policy</t>
  </si>
  <si>
    <t>Set Policy</t>
  </si>
  <si>
    <t>Case-by-Case</t>
  </si>
  <si>
    <t>Do you have a set retention policy for school buses or is it case-by-case?</t>
  </si>
  <si>
    <t>Remaining Life (years)         Set Policy</t>
  </si>
  <si>
    <t>Remaining Life (years)               Case-by-Case</t>
  </si>
  <si>
    <t>Total Project Cost</t>
  </si>
  <si>
    <t>Old Bus Number</t>
  </si>
  <si>
    <t>Upgrade:</t>
  </si>
  <si>
    <t>New Engine Horsepower:</t>
  </si>
  <si>
    <t>Upgrade Cost Per Unit</t>
  </si>
  <si>
    <t>Engine Horsepower:</t>
  </si>
  <si>
    <t>Counter Name</t>
  </si>
  <si>
    <t>Counter Number</t>
  </si>
  <si>
    <t>Vehicle or Engine Group Name</t>
  </si>
  <si>
    <t>Engine Cylinder Displacement:</t>
  </si>
  <si>
    <t>EPA Fuel Names</t>
  </si>
  <si>
    <t>LPG</t>
  </si>
  <si>
    <t>Battery Electric</t>
  </si>
  <si>
    <r>
      <t>Annual Results (short tons)</t>
    </r>
    <r>
      <rPr>
        <b/>
        <sz val="5"/>
        <color rgb="FF212121"/>
        <rFont val="&amp;quot"/>
      </rPr>
      <t>2</t>
    </r>
  </si>
  <si>
    <r>
      <t>NO</t>
    </r>
    <r>
      <rPr>
        <b/>
        <sz val="5"/>
        <color rgb="FF212121"/>
        <rFont val="&amp;quot"/>
      </rPr>
      <t>x</t>
    </r>
  </si>
  <si>
    <r>
      <t>CO</t>
    </r>
    <r>
      <rPr>
        <b/>
        <sz val="5"/>
        <color rgb="FF212121"/>
        <rFont val="&amp;quot"/>
      </rPr>
      <t>2</t>
    </r>
  </si>
  <si>
    <r>
      <t>Fuel</t>
    </r>
    <r>
      <rPr>
        <b/>
        <sz val="5"/>
        <color rgb="FF212121"/>
        <rFont val="&amp;quot"/>
      </rPr>
      <t>3</t>
    </r>
  </si>
  <si>
    <t>ULSD Equivalent</t>
  </si>
  <si>
    <t>lb of CNG</t>
  </si>
  <si>
    <t>gallons of propane</t>
  </si>
  <si>
    <t>Old Fuel (mpg)</t>
  </si>
  <si>
    <t>New Bus Manufacturer</t>
  </si>
  <si>
    <t>Old Bus Manufacturer:</t>
  </si>
  <si>
    <t>New Fuel (mpg) if Diesel</t>
  </si>
  <si>
    <t>New ULSD Used (gal):</t>
  </si>
  <si>
    <t>Old ULSD Used (gal):</t>
  </si>
  <si>
    <t>Eligibility Check</t>
  </si>
  <si>
    <t>Data Check</t>
  </si>
  <si>
    <t>Duns #:</t>
  </si>
  <si>
    <t>Fuel Type(s):</t>
  </si>
  <si>
    <t>New Engine Cylinder Displacement (L):</t>
  </si>
  <si>
    <t xml:space="preserve"> New Bus</t>
  </si>
  <si>
    <t xml:space="preserve">             Date</t>
  </si>
  <si>
    <t>Air Quality Priority for Funding:</t>
  </si>
  <si>
    <t>Bus Type (A,B,C,D)</t>
  </si>
  <si>
    <t xml:space="preserve">Bus Type (A,B,C,D) </t>
  </si>
  <si>
    <t>Bus Type</t>
  </si>
  <si>
    <t>A</t>
  </si>
  <si>
    <t>B</t>
  </si>
  <si>
    <t>C</t>
  </si>
  <si>
    <t>D</t>
  </si>
  <si>
    <t>gallons of diesel</t>
  </si>
  <si>
    <t>gasoline</t>
  </si>
  <si>
    <t>DEQ does not include data for new gasoline buses.  Hence, emission reduction data must be entered (i.e., case-by-case using vendor data).</t>
  </si>
  <si>
    <t>Max Amount</t>
  </si>
  <si>
    <t>Minimum Match</t>
  </si>
  <si>
    <t>Bus Eliminated</t>
  </si>
  <si>
    <t>Eligible Replacement MY</t>
  </si>
  <si>
    <t>Priority</t>
  </si>
  <si>
    <t>CO2 Units if Different</t>
  </si>
  <si>
    <t>New Engine Fuel Type or Bus Eliminated:</t>
  </si>
  <si>
    <t>Please include a list of the buses proposed to be replaced with new buses using the "Bus Fleet" tab.  The white/blue fields need to be completed.  Old buses must be diesel-powered with fleet turnover indicating the bus would have normally remained in service for three or more years. The new replacement bus must be the same “type” (e.g., Type C must replace a Type C).</t>
  </si>
  <si>
    <t xml:space="preserve">Cost-effectiveness of DERA Funding at Reducing NOx Emissions: </t>
  </si>
  <si>
    <t xml:space="preserve">Requested DERA Funding (Max $636,968): </t>
  </si>
  <si>
    <t xml:space="preserve">Amount of Matching Funds (Minimum 85.5%): </t>
  </si>
  <si>
    <r>
      <t xml:space="preserve">The Environmental Protection Division is providing this Request for Applications (RFA) form for proposals to replace public school buses early in Georgia.  The selection process is competitive and funded through the Diesel Emission Reduction Act (DERA) State Clean Diesel Grant. Please complete this form. Upon completion, the form may be e-mailed to our designated correspondant at ama.maiki@dnr.ga.gov.  Alternately, the form may be mailed to Environmental Protection Division, Planning and Support Program, 4244 International Parkway Suite 120, Atlanta, GA 30354 to the attention of Ama Maiki. Applications must be received by </t>
    </r>
    <r>
      <rPr>
        <sz val="12"/>
        <color rgb="FFFF0000"/>
        <rFont val="Times New Roman"/>
        <family val="1"/>
      </rPr>
      <t>4:30 p.m. on July 28,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</si>
</sst>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0.0%"/>
    <numFmt numFmtId="167" formatCode="0.0000"/>
    <numFmt numFmtId="168" formatCode="0.00000"/>
    <numFmt numFmtId="169" formatCode="0.000000"/>
    <numFmt numFmtId="170" formatCode="_(&quot;$&quot;* #,##0_);_(&quot;$&quot;* \(#,##0\);_(&quot;$&quot;* &quot;-&quot;??_);_(@_)"/>
    <numFmt numFmtId="171" formatCode="0.00000000"/>
    <numFmt numFmtId="172" formatCode="0.0000000"/>
    <numFmt numFmtId="173" formatCode="0.000"/>
    <numFmt numFmtId="174" formatCode="&quot;$&quot;#,##0.000_);[Red]\(&quot;$&quot;#,##0.000\)"/>
    <numFmt numFmtId="175" formatCode="000"/>
    <numFmt numFmtId="176" formatCode="0.000000%"/>
    <numFmt numFmtId="177" formatCode="0.0"/>
    <numFmt numFmtId="178" formatCode="0.000000000"/>
    <numFmt numFmtId="179" formatCode="&quot;$&quot;#,##0"/>
    <numFmt numFmtId="180" formatCode="&quot;$&quot;#,##0.0_);[Red]\(&quot;$&quot;#,##0.0\)"/>
    <numFmt numFmtId="181" formatCode="0.00000000%"/>
    <numFmt numFmtId="182" formatCode="0.0000000%"/>
    <numFmt numFmtId="183" formatCode="0.000000000000%"/>
  </numFmts>
  <fonts count="24">
    <font>
      <sz val="11"/>
      <color theme="1"/>
      <name val="Calibri"/>
      <family val="2"/>
      <scheme val="minor"/>
    </font>
    <font>
      <sz val="11"/>
      <color theme="1"/>
      <name val="Times New Roman"/>
      <family val="1"/>
    </font>
    <font>
      <sz val="12"/>
      <color theme="1"/>
      <name val="Times New Roman"/>
      <family val="1"/>
    </font>
    <font>
      <u/>
      <sz val="11"/>
      <color theme="10"/>
      <name val="Calibri"/>
      <family val="2"/>
      <scheme val="minor"/>
    </font>
    <font>
      <b/>
      <sz val="12"/>
      <color theme="1"/>
      <name val="Times New Roman"/>
      <family val="1"/>
    </font>
    <font>
      <sz val="11"/>
      <color theme="1"/>
      <name val="Calibri"/>
      <family val="2"/>
      <scheme val="minor"/>
    </font>
    <font>
      <sz val="10"/>
      <name val="Arial"/>
      <family val="2"/>
    </font>
    <font>
      <sz val="10"/>
      <color theme="1"/>
      <name val="Arial"/>
      <family val="2"/>
    </font>
    <font>
      <sz val="8"/>
      <name val="Calibri"/>
      <family val="2"/>
      <scheme val="minor"/>
    </font>
    <font>
      <sz val="11"/>
      <color rgb="FF212121"/>
      <name val="Calibri"/>
      <family val="2"/>
      <scheme val="minor"/>
    </font>
    <font>
      <b/>
      <sz val="11"/>
      <color rgb="FF212121"/>
      <name val="Calibri"/>
      <family val="2"/>
      <scheme val="minor"/>
    </font>
    <font>
      <b/>
      <vertAlign val="subscript"/>
      <sz val="11"/>
      <color rgb="FF212121"/>
      <name val="Calibri"/>
      <family val="2"/>
      <scheme val="minor"/>
    </font>
    <font>
      <b/>
      <sz val="11"/>
      <color theme="1"/>
      <name val="Calibri"/>
      <family val="2"/>
      <scheme val="minor"/>
    </font>
    <font>
      <b/>
      <sz val="10"/>
      <name val="Arial"/>
      <family val="2"/>
    </font>
    <font>
      <b/>
      <sz val="10"/>
      <color theme="1"/>
      <name val="Arial"/>
      <family val="2"/>
    </font>
    <font>
      <b/>
      <sz val="12"/>
      <color rgb="FFFF0000"/>
      <name val="Times New Roman"/>
      <family val="1"/>
    </font>
    <font>
      <sz val="12"/>
      <color rgb="FFFF0000"/>
      <name val="Times New Roman"/>
      <family val="1"/>
    </font>
    <font>
      <b/>
      <sz val="9"/>
      <color rgb="FF212121"/>
      <name val="&amp;quot"/>
    </font>
    <font>
      <b/>
      <i/>
      <u/>
      <sz val="9"/>
      <color rgb="FF212121"/>
      <name val="&amp;quot"/>
    </font>
    <font>
      <b/>
      <sz val="5"/>
      <color rgb="FF212121"/>
      <name val="&amp;quot"/>
    </font>
    <font>
      <sz val="9"/>
      <color rgb="FF212121"/>
      <name val="&amp;quot"/>
    </font>
    <font>
      <b/>
      <sz val="12"/>
      <color rgb="FF0070C0"/>
      <name val="STXingkai"/>
      <charset val="134"/>
    </font>
    <font>
      <b/>
      <sz val="12"/>
      <color theme="4"/>
      <name val="Blackadder ITC"/>
      <family val="5"/>
    </font>
    <font>
      <b/>
      <sz val="11"/>
      <color rgb="FFFF0000"/>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FFFF"/>
        <bgColor indexed="64"/>
      </patternFill>
    </fill>
    <fill>
      <patternFill patternType="solid">
        <fgColor rgb="FFF1F1F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rgb="FFF1F1F1"/>
      </left>
      <right style="medium">
        <color rgb="FFF1F1F1"/>
      </right>
      <top style="medium">
        <color rgb="FFF1F1F1"/>
      </top>
      <bottom style="medium">
        <color rgb="FFF1F1F1"/>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3" fillId="0" borderId="0" applyNumberForma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322">
    <xf numFmtId="0" fontId="0" fillId="0" borderId="0" xfId="0"/>
    <xf numFmtId="0" fontId="2" fillId="0" borderId="0" xfId="0" applyFont="1" applyAlignment="1">
      <alignment vertical="center"/>
    </xf>
    <xf numFmtId="0" fontId="1" fillId="0" borderId="0" xfId="0" applyFont="1"/>
    <xf numFmtId="0" fontId="2" fillId="0" borderId="0" xfId="0" applyFont="1" applyAlignment="1">
      <alignment horizontal="left" vertical="center"/>
    </xf>
    <xf numFmtId="0" fontId="2" fillId="0" borderId="0" xfId="0" applyFont="1" applyAlignment="1">
      <alignment vertical="top"/>
    </xf>
    <xf numFmtId="0" fontId="2" fillId="0" borderId="0" xfId="0" applyFont="1"/>
    <xf numFmtId="0" fontId="2" fillId="0" borderId="0" xfId="0" applyFont="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9" fillId="5" borderId="18" xfId="0" applyFont="1" applyFill="1" applyBorder="1" applyAlignment="1">
      <alignment horizontal="left" wrapText="1"/>
    </xf>
    <xf numFmtId="165" fontId="0" fillId="0" borderId="0" xfId="3" applyNumberFormat="1" applyFont="1"/>
    <xf numFmtId="165" fontId="0" fillId="3" borderId="17" xfId="3" applyNumberFormat="1" applyFont="1" applyFill="1" applyBorder="1"/>
    <xf numFmtId="165" fontId="0" fillId="3" borderId="15" xfId="3" applyNumberFormat="1" applyFont="1" applyFill="1" applyBorder="1"/>
    <xf numFmtId="0" fontId="0" fillId="3" borderId="16" xfId="0" applyFill="1" applyBorder="1"/>
    <xf numFmtId="165" fontId="10" fillId="3" borderId="13" xfId="3" applyNumberFormat="1" applyFont="1" applyFill="1" applyBorder="1" applyAlignment="1">
      <alignment horizontal="right" wrapText="1"/>
    </xf>
    <xf numFmtId="165" fontId="0" fillId="3" borderId="5" xfId="3" applyNumberFormat="1" applyFont="1" applyFill="1" applyBorder="1"/>
    <xf numFmtId="165" fontId="0" fillId="3" borderId="11" xfId="3" applyNumberFormat="1" applyFont="1" applyFill="1" applyBorder="1"/>
    <xf numFmtId="165" fontId="0" fillId="3" borderId="1" xfId="3" applyNumberFormat="1" applyFont="1" applyFill="1" applyBorder="1"/>
    <xf numFmtId="165" fontId="0" fillId="3" borderId="2" xfId="3" applyNumberFormat="1" applyFont="1" applyFill="1" applyBorder="1"/>
    <xf numFmtId="165" fontId="0" fillId="3" borderId="3" xfId="3" applyNumberFormat="1" applyFont="1" applyFill="1" applyBorder="1"/>
    <xf numFmtId="0" fontId="0" fillId="7" borderId="0" xfId="0" applyFill="1"/>
    <xf numFmtId="0" fontId="0" fillId="8" borderId="0" xfId="0" applyFill="1"/>
    <xf numFmtId="0" fontId="0" fillId="9" borderId="0" xfId="0" applyFill="1"/>
    <xf numFmtId="0" fontId="9" fillId="7" borderId="18" xfId="0" applyFont="1" applyFill="1" applyBorder="1" applyAlignment="1">
      <alignment horizontal="right" vertical="center" wrapText="1"/>
    </xf>
    <xf numFmtId="4" fontId="9" fillId="7" borderId="18" xfId="0" applyNumberFormat="1" applyFont="1" applyFill="1" applyBorder="1" applyAlignment="1">
      <alignment horizontal="right" vertical="center" wrapText="1"/>
    </xf>
    <xf numFmtId="3" fontId="9" fillId="7" borderId="18" xfId="0" applyNumberFormat="1" applyFont="1" applyFill="1" applyBorder="1" applyAlignment="1">
      <alignment horizontal="right" vertical="center" wrapText="1"/>
    </xf>
    <xf numFmtId="10" fontId="9" fillId="7" borderId="18" xfId="0" applyNumberFormat="1" applyFont="1" applyFill="1" applyBorder="1" applyAlignment="1">
      <alignment horizontal="right" vertical="center" wrapText="1"/>
    </xf>
    <xf numFmtId="0" fontId="9" fillId="10" borderId="18" xfId="0" applyFont="1" applyFill="1" applyBorder="1" applyAlignment="1">
      <alignment horizontal="right" vertical="center" wrapText="1"/>
    </xf>
    <xf numFmtId="4" fontId="9" fillId="10" borderId="18" xfId="0" applyNumberFormat="1" applyFont="1" applyFill="1" applyBorder="1" applyAlignment="1">
      <alignment horizontal="right" vertical="center" wrapText="1"/>
    </xf>
    <xf numFmtId="3" fontId="9" fillId="10" borderId="18" xfId="0" applyNumberFormat="1" applyFont="1" applyFill="1" applyBorder="1" applyAlignment="1">
      <alignment horizontal="right" vertical="center" wrapText="1"/>
    </xf>
    <xf numFmtId="10" fontId="9" fillId="10" borderId="18" xfId="0" applyNumberFormat="1" applyFont="1" applyFill="1" applyBorder="1" applyAlignment="1">
      <alignment horizontal="right" vertical="center" wrapText="1"/>
    </xf>
    <xf numFmtId="0" fontId="9" fillId="8" borderId="18" xfId="0" applyFont="1" applyFill="1" applyBorder="1" applyAlignment="1">
      <alignment horizontal="right" vertical="center" wrapText="1"/>
    </xf>
    <xf numFmtId="4" fontId="9" fillId="8" borderId="18" xfId="0" applyNumberFormat="1" applyFont="1" applyFill="1" applyBorder="1" applyAlignment="1">
      <alignment horizontal="right" vertical="center" wrapText="1"/>
    </xf>
    <xf numFmtId="3" fontId="9" fillId="8" borderId="18" xfId="0" applyNumberFormat="1" applyFont="1" applyFill="1" applyBorder="1" applyAlignment="1">
      <alignment horizontal="right" vertical="center" wrapText="1"/>
    </xf>
    <xf numFmtId="10" fontId="9" fillId="8" borderId="18" xfId="0" applyNumberFormat="1" applyFont="1" applyFill="1" applyBorder="1" applyAlignment="1">
      <alignment horizontal="right" vertical="center" wrapText="1"/>
    </xf>
    <xf numFmtId="0" fontId="9" fillId="9" borderId="18" xfId="0" applyFont="1" applyFill="1" applyBorder="1" applyAlignment="1">
      <alignment horizontal="right" vertical="center" wrapText="1"/>
    </xf>
    <xf numFmtId="4" fontId="9" fillId="9" borderId="18" xfId="0" applyNumberFormat="1" applyFont="1" applyFill="1" applyBorder="1" applyAlignment="1">
      <alignment horizontal="right" vertical="center" wrapText="1"/>
    </xf>
    <xf numFmtId="3" fontId="9" fillId="9" borderId="18" xfId="0" applyNumberFormat="1" applyFont="1" applyFill="1" applyBorder="1" applyAlignment="1">
      <alignment horizontal="right" vertical="center" wrapText="1"/>
    </xf>
    <xf numFmtId="10" fontId="9" fillId="9" borderId="18" xfId="0" applyNumberFormat="1" applyFont="1" applyFill="1" applyBorder="1" applyAlignment="1">
      <alignment horizontal="right" vertical="center" wrapText="1"/>
    </xf>
    <xf numFmtId="10" fontId="9" fillId="11" borderId="18" xfId="0" applyNumberFormat="1" applyFont="1" applyFill="1" applyBorder="1" applyAlignment="1">
      <alignment horizontal="right" vertical="center" wrapText="1"/>
    </xf>
    <xf numFmtId="0" fontId="9" fillId="11" borderId="18" xfId="0" applyFont="1" applyFill="1" applyBorder="1" applyAlignment="1">
      <alignment horizontal="right" vertical="center" wrapText="1"/>
    </xf>
    <xf numFmtId="4" fontId="9" fillId="11" borderId="18" xfId="0" applyNumberFormat="1" applyFont="1" applyFill="1" applyBorder="1" applyAlignment="1">
      <alignment horizontal="right" vertical="center" wrapText="1"/>
    </xf>
    <xf numFmtId="3" fontId="9" fillId="11" borderId="18" xfId="0" applyNumberFormat="1" applyFont="1" applyFill="1" applyBorder="1" applyAlignment="1">
      <alignment horizontal="right" vertical="center" wrapText="1"/>
    </xf>
    <xf numFmtId="0" fontId="9" fillId="12" borderId="18" xfId="0" applyFont="1" applyFill="1" applyBorder="1" applyAlignment="1">
      <alignment horizontal="right" vertical="center" wrapText="1"/>
    </xf>
    <xf numFmtId="4" fontId="9" fillId="12" borderId="18" xfId="0" applyNumberFormat="1" applyFont="1" applyFill="1" applyBorder="1" applyAlignment="1">
      <alignment horizontal="right" vertical="center" wrapText="1"/>
    </xf>
    <xf numFmtId="3" fontId="9" fillId="12" borderId="18" xfId="0" applyNumberFormat="1" applyFont="1" applyFill="1" applyBorder="1" applyAlignment="1">
      <alignment horizontal="right" vertical="center" wrapText="1"/>
    </xf>
    <xf numFmtId="10" fontId="9" fillId="12" borderId="18" xfId="0" applyNumberFormat="1" applyFont="1" applyFill="1" applyBorder="1" applyAlignment="1">
      <alignment horizontal="right" vertical="center" wrapText="1"/>
    </xf>
    <xf numFmtId="0" fontId="0" fillId="12" borderId="0" xfId="0" applyFill="1"/>
    <xf numFmtId="10" fontId="0" fillId="0" borderId="0" xfId="4" applyNumberFormat="1" applyFont="1"/>
    <xf numFmtId="0" fontId="0" fillId="13" borderId="0" xfId="0" applyFill="1"/>
    <xf numFmtId="0" fontId="9" fillId="13" borderId="18" xfId="0" applyFont="1" applyFill="1" applyBorder="1" applyAlignment="1">
      <alignment horizontal="right" vertical="center" wrapText="1"/>
    </xf>
    <xf numFmtId="4" fontId="9" fillId="13" borderId="18" xfId="0" applyNumberFormat="1" applyFont="1" applyFill="1" applyBorder="1" applyAlignment="1">
      <alignment horizontal="right" vertical="center" wrapText="1"/>
    </xf>
    <xf numFmtId="3" fontId="9" fillId="13" borderId="18" xfId="0" applyNumberFormat="1" applyFont="1" applyFill="1" applyBorder="1" applyAlignment="1">
      <alignment horizontal="right" vertical="center" wrapText="1"/>
    </xf>
    <xf numFmtId="10" fontId="9" fillId="13" borderId="18" xfId="0" applyNumberFormat="1" applyFont="1" applyFill="1" applyBorder="1" applyAlignment="1">
      <alignment horizontal="right" vertical="center" wrapText="1"/>
    </xf>
    <xf numFmtId="0" fontId="9" fillId="0" borderId="18" xfId="0" applyFont="1" applyBorder="1" applyAlignment="1">
      <alignment horizontal="left" wrapText="1"/>
    </xf>
    <xf numFmtId="0" fontId="10" fillId="6" borderId="18" xfId="0" applyFont="1" applyFill="1" applyBorder="1" applyAlignment="1">
      <alignment horizontal="left" wrapText="1"/>
    </xf>
    <xf numFmtId="0" fontId="12" fillId="13" borderId="0" xfId="0" applyFont="1" applyFill="1"/>
    <xf numFmtId="0" fontId="12" fillId="0" borderId="0" xfId="0" applyFont="1" applyAlignment="1">
      <alignment horizontal="right" vertical="center"/>
    </xf>
    <xf numFmtId="0" fontId="6" fillId="2" borderId="8" xfId="0" applyFont="1" applyFill="1" applyBorder="1" applyAlignment="1">
      <alignment horizontal="right" vertical="center" wrapText="1"/>
    </xf>
    <xf numFmtId="0" fontId="6" fillId="0" borderId="6" xfId="0" applyFont="1" applyBorder="1" applyAlignment="1">
      <alignment horizontal="right" vertical="center" wrapText="1"/>
    </xf>
    <xf numFmtId="0" fontId="6" fillId="0" borderId="0" xfId="0" applyFont="1" applyAlignment="1">
      <alignment horizontal="right" vertical="center"/>
    </xf>
    <xf numFmtId="0" fontId="6" fillId="2" borderId="9" xfId="0" applyFont="1" applyFill="1" applyBorder="1" applyAlignment="1">
      <alignment horizontal="right" vertical="center" wrapText="1"/>
    </xf>
    <xf numFmtId="171" fontId="0" fillId="0" borderId="0" xfId="0" applyNumberFormat="1" applyAlignment="1">
      <alignment horizontal="right" vertical="center"/>
    </xf>
    <xf numFmtId="166" fontId="0" fillId="0" borderId="0" xfId="4" applyNumberFormat="1" applyFont="1" applyAlignment="1">
      <alignment horizontal="right" vertical="center"/>
    </xf>
    <xf numFmtId="170" fontId="0" fillId="0" borderId="0" xfId="2" applyNumberFormat="1" applyFont="1" applyAlignment="1">
      <alignment horizontal="right" vertical="center"/>
    </xf>
    <xf numFmtId="169" fontId="0" fillId="0" borderId="0" xfId="0" applyNumberFormat="1" applyAlignment="1">
      <alignment horizontal="right" vertical="center"/>
    </xf>
    <xf numFmtId="172" fontId="0" fillId="0" borderId="0" xfId="0" applyNumberFormat="1" applyAlignment="1">
      <alignment horizontal="right" vertical="center"/>
    </xf>
    <xf numFmtId="167" fontId="0" fillId="0" borderId="0" xfId="0" applyNumberFormat="1" applyAlignment="1">
      <alignment horizontal="right" vertical="center"/>
    </xf>
    <xf numFmtId="0" fontId="0" fillId="0" borderId="0" xfId="0" applyAlignment="1">
      <alignment horizontal="right" vertical="center"/>
    </xf>
    <xf numFmtId="9" fontId="0" fillId="0" borderId="0" xfId="4" applyFont="1" applyAlignment="1">
      <alignment horizontal="right" vertical="center"/>
    </xf>
    <xf numFmtId="0" fontId="13" fillId="4" borderId="21"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4" fillId="4" borderId="14" xfId="0" applyFont="1" applyFill="1" applyBorder="1" applyAlignment="1">
      <alignment horizontal="right" vertical="center"/>
    </xf>
    <xf numFmtId="8" fontId="13" fillId="4" borderId="14" xfId="0" applyNumberFormat="1" applyFont="1" applyFill="1" applyBorder="1" applyAlignment="1">
      <alignment horizontal="right" vertical="center" wrapText="1"/>
    </xf>
    <xf numFmtId="0" fontId="13" fillId="4" borderId="20" xfId="0" applyFont="1" applyFill="1" applyBorder="1" applyAlignment="1">
      <alignment horizontal="right" vertical="center" wrapText="1"/>
    </xf>
    <xf numFmtId="171" fontId="12" fillId="4" borderId="0" xfId="0" applyNumberFormat="1" applyFont="1" applyFill="1" applyAlignment="1">
      <alignment horizontal="right" vertical="center"/>
    </xf>
    <xf numFmtId="10" fontId="12" fillId="4" borderId="0" xfId="0" applyNumberFormat="1" applyFont="1" applyFill="1" applyAlignment="1">
      <alignment horizontal="right" vertical="center"/>
    </xf>
    <xf numFmtId="167" fontId="12" fillId="4" borderId="0" xfId="0" applyNumberFormat="1" applyFont="1" applyFill="1" applyAlignment="1">
      <alignment horizontal="right" vertical="center"/>
    </xf>
    <xf numFmtId="170" fontId="12" fillId="4" borderId="0" xfId="0" applyNumberFormat="1" applyFont="1" applyFill="1" applyAlignment="1">
      <alignment horizontal="right" vertical="center"/>
    </xf>
    <xf numFmtId="168" fontId="12" fillId="4" borderId="0" xfId="0" applyNumberFormat="1" applyFont="1" applyFill="1" applyAlignment="1">
      <alignment horizontal="right" vertical="center"/>
    </xf>
    <xf numFmtId="169" fontId="12" fillId="4" borderId="0" xfId="0" applyNumberFormat="1" applyFont="1" applyFill="1" applyAlignment="1">
      <alignment horizontal="right" vertical="center"/>
    </xf>
    <xf numFmtId="0" fontId="12" fillId="4" borderId="0" xfId="0" applyFont="1" applyFill="1" applyAlignment="1">
      <alignment horizontal="right" vertical="center"/>
    </xf>
    <xf numFmtId="0" fontId="16" fillId="0" borderId="0" xfId="0" applyFont="1"/>
    <xf numFmtId="6" fontId="2" fillId="0" borderId="0" xfId="0" applyNumberFormat="1" applyFont="1" applyAlignment="1">
      <alignment vertical="center"/>
    </xf>
    <xf numFmtId="175" fontId="0" fillId="0" borderId="0" xfId="0" applyNumberFormat="1" applyAlignment="1">
      <alignment horizontal="center" vertical="center"/>
    </xf>
    <xf numFmtId="175" fontId="0" fillId="0" borderId="0" xfId="0" applyNumberFormat="1" applyAlignment="1">
      <alignment horizontal="center"/>
    </xf>
    <xf numFmtId="0" fontId="4" fillId="2" borderId="0" xfId="0" applyFont="1" applyFill="1" applyAlignment="1">
      <alignment horizontal="left" vertical="center"/>
    </xf>
    <xf numFmtId="175" fontId="12" fillId="2" borderId="0" xfId="0" applyNumberFormat="1" applyFont="1" applyFill="1" applyAlignment="1">
      <alignment horizontal="center" vertical="center"/>
    </xf>
    <xf numFmtId="176" fontId="2" fillId="0" borderId="0" xfId="4" applyNumberFormat="1" applyFont="1"/>
    <xf numFmtId="0" fontId="12" fillId="16" borderId="0" xfId="0" applyFont="1" applyFill="1" applyAlignment="1">
      <alignment horizontal="right" vertical="center"/>
    </xf>
    <xf numFmtId="0" fontId="13" fillId="4" borderId="14" xfId="0" applyFont="1" applyFill="1" applyBorder="1" applyAlignment="1">
      <alignment horizontal="center" wrapText="1"/>
    </xf>
    <xf numFmtId="165" fontId="0" fillId="0" borderId="0" xfId="3" applyNumberFormat="1" applyFont="1" applyAlignment="1">
      <alignment horizontal="right" vertical="center"/>
    </xf>
    <xf numFmtId="165" fontId="13" fillId="4" borderId="14" xfId="0" applyNumberFormat="1" applyFont="1" applyFill="1" applyBorder="1" applyAlignment="1">
      <alignment horizontal="right" vertical="center" wrapText="1"/>
    </xf>
    <xf numFmtId="173" fontId="4" fillId="2" borderId="1" xfId="2" applyNumberFormat="1" applyFont="1" applyFill="1" applyBorder="1" applyAlignment="1">
      <alignment horizontal="right" vertical="center"/>
    </xf>
    <xf numFmtId="0" fontId="0" fillId="0" borderId="0" xfId="0" applyAlignment="1">
      <alignment horizontal="center" vertical="center"/>
    </xf>
    <xf numFmtId="0" fontId="6" fillId="3" borderId="12" xfId="0" applyFont="1" applyFill="1" applyBorder="1" applyAlignment="1">
      <alignment horizontal="center" vertical="center" textRotation="90" wrapText="1"/>
    </xf>
    <xf numFmtId="0" fontId="1"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176" fontId="2" fillId="0" borderId="0" xfId="4" applyNumberFormat="1" applyFont="1" applyAlignment="1">
      <alignment vertical="center" wrapText="1"/>
    </xf>
    <xf numFmtId="173" fontId="2" fillId="0" borderId="0" xfId="0" applyNumberFormat="1" applyFont="1" applyAlignment="1">
      <alignment vertical="center" wrapText="1"/>
    </xf>
    <xf numFmtId="174" fontId="16" fillId="0" borderId="0" xfId="0" applyNumberFormat="1" applyFont="1" applyAlignment="1">
      <alignment vertical="center" wrapText="1"/>
    </xf>
    <xf numFmtId="174" fontId="2" fillId="0" borderId="0" xfId="0" applyNumberFormat="1" applyFont="1" applyAlignment="1">
      <alignment vertical="center" wrapText="1"/>
    </xf>
    <xf numFmtId="173" fontId="4" fillId="2" borderId="2" xfId="2" applyNumberFormat="1" applyFont="1" applyFill="1" applyBorder="1" applyAlignment="1">
      <alignment horizontal="right" vertical="center"/>
    </xf>
    <xf numFmtId="0" fontId="2" fillId="0" borderId="0" xfId="0" applyFont="1" applyAlignment="1">
      <alignment horizontal="right" vertical="center"/>
    </xf>
    <xf numFmtId="0" fontId="15" fillId="0" borderId="15" xfId="0" applyFont="1" applyBorder="1" applyAlignment="1">
      <alignment horizontal="right" vertical="center"/>
    </xf>
    <xf numFmtId="0" fontId="4" fillId="0" borderId="2" xfId="0" applyFont="1" applyBorder="1" applyAlignment="1">
      <alignment vertical="top"/>
    </xf>
    <xf numFmtId="44" fontId="4" fillId="2" borderId="4" xfId="2" applyFont="1" applyFill="1" applyBorder="1" applyAlignment="1">
      <alignment horizontal="left" vertical="center"/>
    </xf>
    <xf numFmtId="0" fontId="12" fillId="10" borderId="0" xfId="0" applyFont="1" applyFill="1" applyAlignment="1">
      <alignment horizontal="center" vertical="center"/>
    </xf>
    <xf numFmtId="0" fontId="2" fillId="0" borderId="0" xfId="0" pivotButton="1" applyFont="1" applyAlignment="1">
      <alignment horizontal="left"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7" xfId="0" applyFont="1" applyBorder="1" applyAlignment="1">
      <alignment horizontal="center" vertical="center" wrapText="1"/>
    </xf>
    <xf numFmtId="0" fontId="13" fillId="4" borderId="14" xfId="0" applyFont="1" applyFill="1" applyBorder="1" applyAlignment="1">
      <alignment horizontal="center" vertical="center" wrapText="1"/>
    </xf>
    <xf numFmtId="0" fontId="13" fillId="4" borderId="14" xfId="0" applyFont="1" applyFill="1" applyBorder="1" applyAlignment="1">
      <alignment horizontal="left" vertical="center" wrapText="1"/>
    </xf>
    <xf numFmtId="0" fontId="6" fillId="2" borderId="12" xfId="0" applyFont="1" applyFill="1" applyBorder="1" applyAlignment="1">
      <alignment horizontal="center" vertical="center" textRotation="90" wrapText="1"/>
    </xf>
    <xf numFmtId="0" fontId="0" fillId="0" borderId="0" xfId="0" applyAlignment="1">
      <alignment horizontal="left" vertical="center"/>
    </xf>
    <xf numFmtId="0" fontId="12" fillId="0" borderId="0" xfId="0" applyFont="1" applyAlignment="1">
      <alignment horizontal="center" vertical="center"/>
    </xf>
    <xf numFmtId="0" fontId="18" fillId="6" borderId="18" xfId="0" applyFont="1" applyFill="1" applyBorder="1" applyAlignment="1">
      <alignment horizontal="left" wrapText="1"/>
    </xf>
    <xf numFmtId="0" fontId="17" fillId="6" borderId="18" xfId="0" applyFont="1" applyFill="1" applyBorder="1" applyAlignment="1">
      <alignment horizontal="right" wrapText="1"/>
    </xf>
    <xf numFmtId="0" fontId="20" fillId="5" borderId="18" xfId="0" applyFont="1" applyFill="1" applyBorder="1" applyAlignment="1">
      <alignment horizontal="left" wrapText="1"/>
    </xf>
    <xf numFmtId="0" fontId="20" fillId="5" borderId="18" xfId="0" applyFont="1" applyFill="1" applyBorder="1" applyAlignment="1">
      <alignment horizontal="right" vertical="center" wrapText="1"/>
    </xf>
    <xf numFmtId="4" fontId="20" fillId="5" borderId="18" xfId="0" applyNumberFormat="1" applyFont="1" applyFill="1" applyBorder="1" applyAlignment="1">
      <alignment horizontal="right" vertical="center" wrapText="1"/>
    </xf>
    <xf numFmtId="3" fontId="20" fillId="5" borderId="18" xfId="0" applyNumberFormat="1" applyFont="1" applyFill="1" applyBorder="1" applyAlignment="1">
      <alignment horizontal="right" vertical="center" wrapText="1"/>
    </xf>
    <xf numFmtId="10" fontId="20" fillId="5" borderId="18" xfId="0" applyNumberFormat="1" applyFont="1" applyFill="1" applyBorder="1" applyAlignment="1">
      <alignment horizontal="right" vertical="center" wrapText="1"/>
    </xf>
    <xf numFmtId="165" fontId="0" fillId="0" borderId="0" xfId="3" applyNumberFormat="1" applyFont="1" applyBorder="1"/>
    <xf numFmtId="0" fontId="6" fillId="2" borderId="11" xfId="0" applyFont="1" applyFill="1" applyBorder="1" applyAlignment="1">
      <alignment horizontal="center" vertical="center" textRotation="90" wrapText="1"/>
    </xf>
    <xf numFmtId="171" fontId="6" fillId="2" borderId="12" xfId="0" applyNumberFormat="1" applyFont="1" applyFill="1" applyBorder="1" applyAlignment="1">
      <alignment horizontal="center" vertical="center" textRotation="90" wrapText="1"/>
    </xf>
    <xf numFmtId="166" fontId="6" fillId="2" borderId="12" xfId="4" applyNumberFormat="1" applyFont="1" applyFill="1" applyBorder="1" applyAlignment="1">
      <alignment horizontal="center" vertical="center" textRotation="90" wrapText="1"/>
    </xf>
    <xf numFmtId="167" fontId="6" fillId="2" borderId="12" xfId="0" applyNumberFormat="1" applyFont="1" applyFill="1" applyBorder="1" applyAlignment="1">
      <alignment horizontal="center" vertical="center" textRotation="90" wrapText="1"/>
    </xf>
    <xf numFmtId="170" fontId="6" fillId="2" borderId="12" xfId="2" applyNumberFormat="1" applyFont="1" applyFill="1" applyBorder="1" applyAlignment="1">
      <alignment horizontal="center" vertical="center" textRotation="90" wrapText="1"/>
    </xf>
    <xf numFmtId="169" fontId="6" fillId="2" borderId="12" xfId="0" applyNumberFormat="1" applyFont="1" applyFill="1" applyBorder="1" applyAlignment="1">
      <alignment horizontal="center" vertical="center" textRotation="90" wrapText="1"/>
    </xf>
    <xf numFmtId="172" fontId="6" fillId="2" borderId="12" xfId="0" applyNumberFormat="1" applyFont="1" applyFill="1" applyBorder="1" applyAlignment="1">
      <alignment horizontal="center" vertical="center" textRotation="90" wrapText="1"/>
    </xf>
    <xf numFmtId="9" fontId="6" fillId="2" borderId="12" xfId="4" applyFont="1" applyFill="1" applyBorder="1" applyAlignment="1">
      <alignment horizontal="center" vertical="center" textRotation="90" wrapText="1"/>
    </xf>
    <xf numFmtId="0" fontId="6" fillId="0" borderId="0" xfId="0" applyFont="1" applyAlignment="1">
      <alignment horizontal="center" vertical="center" textRotation="90" wrapText="1"/>
    </xf>
    <xf numFmtId="1" fontId="0" fillId="0" borderId="0" xfId="0" applyNumberFormat="1" applyAlignment="1">
      <alignment horizontal="center" vertical="center"/>
    </xf>
    <xf numFmtId="1" fontId="6" fillId="2" borderId="12" xfId="0" applyNumberFormat="1" applyFont="1" applyFill="1" applyBorder="1" applyAlignment="1">
      <alignment horizontal="center" vertical="center" textRotation="90" wrapText="1"/>
    </xf>
    <xf numFmtId="1" fontId="13" fillId="4" borderId="14" xfId="0" applyNumberFormat="1" applyFont="1" applyFill="1" applyBorder="1" applyAlignment="1">
      <alignment horizontal="center" vertical="center" wrapText="1"/>
    </xf>
    <xf numFmtId="1" fontId="0" fillId="0" borderId="0" xfId="0" applyNumberFormat="1" applyAlignment="1">
      <alignment horizontal="right" vertical="center"/>
    </xf>
    <xf numFmtId="0" fontId="9" fillId="5" borderId="18" xfId="0" applyFont="1" applyFill="1" applyBorder="1" applyAlignment="1">
      <alignment horizontal="right" vertical="center" wrapText="1"/>
    </xf>
    <xf numFmtId="4" fontId="9" fillId="5" borderId="18" xfId="0" applyNumberFormat="1" applyFont="1" applyFill="1" applyBorder="1" applyAlignment="1">
      <alignment horizontal="right" vertical="center" wrapText="1"/>
    </xf>
    <xf numFmtId="3" fontId="9" fillId="5" borderId="18" xfId="0" applyNumberFormat="1" applyFont="1" applyFill="1" applyBorder="1" applyAlignment="1">
      <alignment horizontal="right" vertical="center" wrapText="1"/>
    </xf>
    <xf numFmtId="10" fontId="9" fillId="5" borderId="18" xfId="0" applyNumberFormat="1" applyFont="1" applyFill="1" applyBorder="1" applyAlignment="1">
      <alignment horizontal="right" vertical="center" wrapText="1"/>
    </xf>
    <xf numFmtId="167" fontId="9" fillId="13" borderId="18" xfId="0" applyNumberFormat="1" applyFont="1" applyFill="1" applyBorder="1" applyAlignment="1">
      <alignment horizontal="right" vertical="center" wrapText="1"/>
    </xf>
    <xf numFmtId="0" fontId="4" fillId="0" borderId="0" xfId="0" applyFont="1" applyAlignment="1">
      <alignment horizontal="left" vertical="center"/>
    </xf>
    <xf numFmtId="165" fontId="9" fillId="13" borderId="18" xfId="3" applyNumberFormat="1" applyFont="1" applyFill="1" applyBorder="1" applyAlignment="1">
      <alignment horizontal="right" vertical="center" wrapText="1"/>
    </xf>
    <xf numFmtId="0" fontId="13" fillId="2" borderId="22" xfId="0" applyFont="1" applyFill="1" applyBorder="1" applyAlignment="1">
      <alignment horizontal="center" vertical="center" textRotation="90" wrapText="1"/>
    </xf>
    <xf numFmtId="165" fontId="6" fillId="2" borderId="12" xfId="3" applyNumberFormat="1" applyFont="1" applyFill="1" applyBorder="1" applyAlignment="1">
      <alignment horizontal="center" vertical="center" textRotation="90" wrapText="1"/>
    </xf>
    <xf numFmtId="177" fontId="6" fillId="2" borderId="12" xfId="0" applyNumberFormat="1" applyFont="1" applyFill="1" applyBorder="1" applyAlignment="1">
      <alignment horizontal="center" vertical="center" textRotation="90" wrapText="1"/>
    </xf>
    <xf numFmtId="177" fontId="12" fillId="4" borderId="0" xfId="0" applyNumberFormat="1" applyFont="1" applyFill="1" applyAlignment="1">
      <alignment horizontal="right" vertical="center"/>
    </xf>
    <xf numFmtId="177" fontId="0" fillId="0" borderId="0" xfId="0" applyNumberFormat="1" applyAlignment="1">
      <alignment horizontal="right" vertical="center"/>
    </xf>
    <xf numFmtId="169" fontId="0" fillId="0" borderId="0" xfId="0" applyNumberFormat="1"/>
    <xf numFmtId="178" fontId="12" fillId="13" borderId="0" xfId="0" applyNumberFormat="1" applyFont="1" applyFill="1"/>
    <xf numFmtId="178" fontId="0" fillId="0" borderId="0" xfId="0" applyNumberFormat="1"/>
    <xf numFmtId="169" fontId="12" fillId="13" borderId="0" xfId="0" applyNumberFormat="1" applyFont="1" applyFill="1" applyAlignment="1">
      <alignment horizontal="left"/>
    </xf>
    <xf numFmtId="3" fontId="6" fillId="2" borderId="12" xfId="3" applyNumberFormat="1" applyFont="1" applyFill="1" applyBorder="1" applyAlignment="1">
      <alignment horizontal="center" vertical="center" textRotation="90" wrapText="1"/>
    </xf>
    <xf numFmtId="3" fontId="0" fillId="0" borderId="0" xfId="3" applyNumberFormat="1" applyFont="1" applyAlignment="1">
      <alignment horizontal="right" vertical="center"/>
    </xf>
    <xf numFmtId="165" fontId="12" fillId="4" borderId="0" xfId="0" applyNumberFormat="1" applyFont="1" applyFill="1" applyAlignment="1">
      <alignment horizontal="right" vertical="center"/>
    </xf>
    <xf numFmtId="3" fontId="12" fillId="4" borderId="0" xfId="0" applyNumberFormat="1" applyFont="1" applyFill="1" applyAlignment="1">
      <alignment horizontal="right" vertical="center"/>
    </xf>
    <xf numFmtId="0" fontId="6" fillId="10" borderId="12" xfId="0" applyFont="1" applyFill="1" applyBorder="1" applyAlignment="1">
      <alignment horizontal="center" vertical="center" textRotation="90" wrapText="1"/>
    </xf>
    <xf numFmtId="0" fontId="6" fillId="10" borderId="13" xfId="0" applyFont="1" applyFill="1" applyBorder="1" applyAlignment="1">
      <alignment horizontal="center" vertical="center" textRotation="90" wrapText="1"/>
    </xf>
    <xf numFmtId="165" fontId="6" fillId="10" borderId="12" xfId="3" applyNumberFormat="1" applyFont="1" applyFill="1" applyBorder="1" applyAlignment="1">
      <alignment horizontal="center" vertical="center" textRotation="90" wrapText="1"/>
    </xf>
    <xf numFmtId="0" fontId="6" fillId="0" borderId="8" xfId="0" applyFont="1" applyBorder="1" applyAlignment="1">
      <alignment horizontal="righ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165" fontId="6" fillId="0" borderId="6" xfId="0" applyNumberFormat="1" applyFont="1" applyBorder="1" applyAlignment="1">
      <alignment horizontal="right" vertical="center" wrapText="1"/>
    </xf>
    <xf numFmtId="165" fontId="6" fillId="0" borderId="6" xfId="3" applyNumberFormat="1" applyFont="1" applyFill="1" applyBorder="1" applyAlignment="1">
      <alignment horizontal="right" vertical="center" wrapText="1"/>
    </xf>
    <xf numFmtId="1" fontId="6" fillId="0" borderId="6" xfId="0" applyNumberFormat="1" applyFont="1" applyBorder="1" applyAlignment="1">
      <alignment horizontal="center" vertical="center" wrapText="1"/>
    </xf>
    <xf numFmtId="0" fontId="6" fillId="0" borderId="6" xfId="2" applyNumberFormat="1" applyFont="1" applyFill="1" applyBorder="1" applyAlignment="1">
      <alignment horizontal="center" vertical="center" wrapText="1"/>
    </xf>
    <xf numFmtId="164" fontId="6" fillId="0" borderId="6" xfId="2" applyNumberFormat="1" applyFont="1" applyFill="1" applyBorder="1" applyAlignment="1">
      <alignment horizontal="right" vertical="center" wrapText="1"/>
    </xf>
    <xf numFmtId="165" fontId="6" fillId="0" borderId="10" xfId="0" applyNumberFormat="1" applyFont="1" applyBorder="1" applyAlignment="1">
      <alignment horizontal="right" vertical="center" wrapText="1"/>
    </xf>
    <xf numFmtId="171" fontId="6" fillId="0" borderId="0" xfId="0" applyNumberFormat="1" applyFont="1" applyAlignment="1">
      <alignment horizontal="right" vertical="center"/>
    </xf>
    <xf numFmtId="166" fontId="6" fillId="0" borderId="0" xfId="4" applyNumberFormat="1" applyFont="1" applyFill="1" applyAlignment="1">
      <alignment horizontal="right" vertical="center"/>
    </xf>
    <xf numFmtId="167" fontId="6" fillId="0" borderId="0" xfId="0" applyNumberFormat="1" applyFont="1" applyAlignment="1">
      <alignment horizontal="right" vertical="center"/>
    </xf>
    <xf numFmtId="170" fontId="6" fillId="0" borderId="0" xfId="2" applyNumberFormat="1" applyFont="1" applyFill="1" applyAlignment="1">
      <alignment horizontal="right" vertical="center"/>
    </xf>
    <xf numFmtId="169" fontId="6" fillId="0" borderId="0" xfId="0" applyNumberFormat="1" applyFont="1" applyAlignment="1">
      <alignment horizontal="right" vertical="center"/>
    </xf>
    <xf numFmtId="172" fontId="6" fillId="0" borderId="0" xfId="0" applyNumberFormat="1" applyFont="1" applyAlignment="1">
      <alignment horizontal="right" vertical="center"/>
    </xf>
    <xf numFmtId="168" fontId="6" fillId="0" borderId="0" xfId="0" applyNumberFormat="1" applyFont="1" applyAlignment="1">
      <alignment horizontal="right" vertical="center"/>
    </xf>
    <xf numFmtId="43" fontId="6" fillId="0" borderId="0" xfId="3" applyFont="1" applyFill="1" applyAlignment="1">
      <alignment horizontal="right" vertical="center"/>
    </xf>
    <xf numFmtId="177" fontId="6" fillId="0" borderId="0" xfId="0" applyNumberFormat="1" applyFont="1" applyAlignment="1">
      <alignment horizontal="right" vertical="center"/>
    </xf>
    <xf numFmtId="3" fontId="6" fillId="0" borderId="0" xfId="3" applyNumberFormat="1" applyFont="1" applyFill="1" applyAlignment="1">
      <alignment horizontal="right" vertical="center"/>
    </xf>
    <xf numFmtId="9" fontId="6" fillId="0" borderId="0" xfId="4" applyFont="1" applyFill="1" applyAlignment="1">
      <alignment horizontal="right" vertical="center"/>
    </xf>
    <xf numFmtId="0" fontId="6" fillId="0" borderId="9" xfId="0" applyFont="1" applyBorder="1" applyAlignment="1">
      <alignment horizontal="right" vertical="center" wrapText="1"/>
    </xf>
    <xf numFmtId="166" fontId="6" fillId="0" borderId="0" xfId="0" applyNumberFormat="1" applyFont="1" applyAlignment="1">
      <alignment horizontal="right" vertical="center"/>
    </xf>
    <xf numFmtId="170" fontId="6" fillId="0" borderId="0" xfId="0" applyNumberFormat="1" applyFont="1" applyAlignment="1">
      <alignment horizontal="right" vertical="center"/>
    </xf>
    <xf numFmtId="171" fontId="7" fillId="0" borderId="0" xfId="0" applyNumberFormat="1" applyFont="1" applyAlignment="1">
      <alignment horizontal="right" vertical="center"/>
    </xf>
    <xf numFmtId="166" fontId="7" fillId="0" borderId="0" xfId="4" applyNumberFormat="1" applyFont="1" applyFill="1" applyAlignment="1">
      <alignment horizontal="right" vertical="center"/>
    </xf>
    <xf numFmtId="170" fontId="7" fillId="0" borderId="0" xfId="2" applyNumberFormat="1" applyFont="1" applyFill="1" applyAlignment="1">
      <alignment horizontal="right" vertical="center"/>
    </xf>
    <xf numFmtId="169" fontId="7" fillId="0" borderId="0" xfId="0" applyNumberFormat="1" applyFont="1" applyAlignment="1">
      <alignment horizontal="right" vertical="center"/>
    </xf>
    <xf numFmtId="172" fontId="7" fillId="0" borderId="0" xfId="0" applyNumberFormat="1" applyFont="1" applyAlignment="1">
      <alignment horizontal="right" vertical="center"/>
    </xf>
    <xf numFmtId="166" fontId="7" fillId="0" borderId="0" xfId="0" applyNumberFormat="1" applyFont="1" applyAlignment="1">
      <alignment horizontal="right" vertical="center"/>
    </xf>
    <xf numFmtId="167" fontId="7" fillId="0" borderId="0" xfId="0" applyNumberFormat="1" applyFont="1" applyAlignment="1">
      <alignment horizontal="right" vertical="center"/>
    </xf>
    <xf numFmtId="170" fontId="7" fillId="0" borderId="0" xfId="0" applyNumberFormat="1" applyFont="1" applyAlignment="1">
      <alignment horizontal="right" vertical="center"/>
    </xf>
    <xf numFmtId="177" fontId="7" fillId="0" borderId="0" xfId="0" applyNumberFormat="1" applyFont="1" applyAlignment="1">
      <alignment horizontal="right" vertical="center"/>
    </xf>
    <xf numFmtId="9" fontId="7" fillId="0" borderId="0" xfId="4" applyFont="1" applyFill="1" applyAlignment="1">
      <alignment horizontal="right" vertical="center"/>
    </xf>
    <xf numFmtId="3" fontId="7" fillId="0" borderId="0" xfId="3" applyNumberFormat="1" applyFont="1" applyFill="1" applyAlignment="1">
      <alignment horizontal="right" vertical="center"/>
    </xf>
    <xf numFmtId="165" fontId="0" fillId="0" borderId="0" xfId="3" applyNumberFormat="1" applyFont="1" applyFill="1" applyBorder="1" applyAlignment="1">
      <alignment horizontal="right" vertical="center"/>
    </xf>
    <xf numFmtId="8" fontId="0" fillId="0" borderId="0" xfId="0" applyNumberFormat="1" applyAlignment="1">
      <alignment horizontal="right" vertical="center"/>
    </xf>
    <xf numFmtId="0" fontId="0" fillId="2" borderId="0" xfId="0" applyFill="1" applyAlignment="1">
      <alignment horizontal="left" vertical="center"/>
    </xf>
    <xf numFmtId="0" fontId="0" fillId="2" borderId="0" xfId="0" applyFill="1" applyAlignment="1">
      <alignment horizontal="right" vertical="center"/>
    </xf>
    <xf numFmtId="0" fontId="6" fillId="2" borderId="6" xfId="0" applyFont="1" applyFill="1" applyBorder="1" applyAlignment="1">
      <alignment horizontal="center" vertical="center"/>
    </xf>
    <xf numFmtId="0" fontId="13" fillId="2" borderId="0" xfId="0" applyFont="1" applyFill="1" applyAlignment="1">
      <alignment horizontal="center" vertical="center" wrapText="1"/>
    </xf>
    <xf numFmtId="0" fontId="12" fillId="2" borderId="0" xfId="0" applyFont="1" applyFill="1" applyAlignment="1">
      <alignment horizontal="right" vertical="center"/>
    </xf>
    <xf numFmtId="0" fontId="6" fillId="2" borderId="0" xfId="0" applyFont="1" applyFill="1" applyAlignment="1">
      <alignment horizontal="right" vertical="center"/>
    </xf>
    <xf numFmtId="0" fontId="6" fillId="2" borderId="0" xfId="0" applyFont="1" applyFill="1" applyAlignment="1">
      <alignment horizontal="center" vertical="center" textRotation="90" wrapText="1"/>
    </xf>
    <xf numFmtId="0" fontId="4" fillId="0" borderId="4" xfId="0" applyFont="1" applyBorder="1" applyAlignment="1" applyProtection="1">
      <alignment vertical="center"/>
      <protection locked="0"/>
    </xf>
    <xf numFmtId="0" fontId="4" fillId="0" borderId="4" xfId="0" applyFont="1" applyBorder="1" applyAlignment="1" applyProtection="1">
      <alignment vertical="top" wrapText="1"/>
      <protection locked="0"/>
    </xf>
    <xf numFmtId="0" fontId="6" fillId="0" borderId="6" xfId="0" applyFont="1" applyBorder="1" applyAlignment="1" applyProtection="1">
      <alignment horizontal="right" vertical="center" wrapText="1"/>
      <protection locked="0"/>
    </xf>
    <xf numFmtId="165" fontId="6" fillId="0" borderId="6" xfId="3" applyNumberFormat="1" applyFont="1" applyBorder="1" applyAlignment="1" applyProtection="1">
      <alignment horizontal="right" vertical="center" wrapText="1"/>
      <protection locked="0"/>
    </xf>
    <xf numFmtId="0" fontId="6" fillId="0" borderId="7" xfId="0" applyFont="1" applyBorder="1" applyAlignment="1" applyProtection="1">
      <alignment horizontal="right" vertical="center" wrapText="1"/>
      <protection locked="0"/>
    </xf>
    <xf numFmtId="165" fontId="6" fillId="0" borderId="7" xfId="3" applyNumberFormat="1" applyFont="1" applyBorder="1" applyAlignment="1" applyProtection="1">
      <alignment horizontal="right" vertical="center" wrapText="1"/>
      <protection locked="0"/>
    </xf>
    <xf numFmtId="0" fontId="6" fillId="0" borderId="6" xfId="0" applyFont="1" applyBorder="1" applyAlignment="1" applyProtection="1">
      <alignment horizontal="center" vertical="center" wrapText="1"/>
      <protection locked="0"/>
    </xf>
    <xf numFmtId="8" fontId="6" fillId="0" borderId="7" xfId="0" applyNumberFormat="1" applyFont="1" applyBorder="1" applyAlignment="1" applyProtection="1">
      <alignment horizontal="right" vertical="center" wrapText="1"/>
      <protection locked="0"/>
    </xf>
    <xf numFmtId="170" fontId="15" fillId="0" borderId="15" xfId="2" applyNumberFormat="1" applyFont="1" applyBorder="1" applyAlignment="1">
      <alignment horizontal="left" vertical="top" wrapText="1"/>
    </xf>
    <xf numFmtId="170" fontId="15" fillId="0" borderId="5" xfId="2" applyNumberFormat="1" applyFont="1" applyBorder="1" applyAlignment="1">
      <alignment horizontal="left" vertical="center" wrapText="1"/>
    </xf>
    <xf numFmtId="0" fontId="2" fillId="17" borderId="0" xfId="0" applyFont="1" applyFill="1" applyAlignment="1">
      <alignment vertical="center"/>
    </xf>
    <xf numFmtId="0" fontId="2" fillId="17" borderId="0" xfId="0" applyFont="1" applyFill="1"/>
    <xf numFmtId="0" fontId="2" fillId="17" borderId="0" xfId="0" applyFont="1" applyFill="1" applyAlignment="1">
      <alignment horizontal="right" vertical="center"/>
    </xf>
    <xf numFmtId="0" fontId="2" fillId="17" borderId="0" xfId="0" applyFont="1" applyFill="1" applyAlignment="1">
      <alignment horizontal="left"/>
    </xf>
    <xf numFmtId="0" fontId="2" fillId="17" borderId="0" xfId="0" applyFont="1" applyFill="1" applyAlignment="1">
      <alignment vertical="top"/>
    </xf>
    <xf numFmtId="0" fontId="4" fillId="17" borderId="0" xfId="0" applyFont="1" applyFill="1" applyAlignment="1">
      <alignment vertical="center"/>
    </xf>
    <xf numFmtId="0" fontId="4" fillId="17" borderId="0" xfId="0" applyFont="1" applyFill="1" applyAlignment="1" applyProtection="1">
      <alignment vertical="top"/>
      <protection locked="0"/>
    </xf>
    <xf numFmtId="0" fontId="4" fillId="0" borderId="4" xfId="0" applyFont="1" applyBorder="1" applyAlignment="1" applyProtection="1">
      <alignment horizontal="center" vertical="center"/>
      <protection locked="0"/>
    </xf>
    <xf numFmtId="0" fontId="1" fillId="17" borderId="0" xfId="0" applyFont="1" applyFill="1"/>
    <xf numFmtId="0" fontId="6" fillId="2" borderId="6" xfId="0" applyFont="1" applyFill="1" applyBorder="1" applyAlignment="1">
      <alignment horizontal="center" vertical="center" wrapText="1"/>
    </xf>
    <xf numFmtId="0" fontId="2" fillId="17" borderId="0" xfId="0" applyFont="1" applyFill="1" applyAlignment="1">
      <alignment horizontal="right"/>
    </xf>
    <xf numFmtId="180" fontId="2" fillId="0" borderId="0" xfId="0" applyNumberFormat="1" applyFont="1" applyAlignment="1">
      <alignment vertical="center"/>
    </xf>
    <xf numFmtId="8" fontId="2" fillId="0" borderId="0" xfId="0" applyNumberFormat="1" applyFont="1" applyAlignment="1">
      <alignment vertical="center"/>
    </xf>
    <xf numFmtId="181" fontId="2" fillId="0" borderId="0" xfId="0" applyNumberFormat="1" applyFont="1" applyAlignment="1">
      <alignment vertical="center"/>
    </xf>
    <xf numFmtId="183" fontId="2" fillId="0" borderId="0" xfId="0" applyNumberFormat="1" applyFont="1"/>
    <xf numFmtId="6" fontId="2" fillId="0" borderId="0" xfId="0" applyNumberFormat="1" applyFont="1"/>
    <xf numFmtId="165" fontId="4" fillId="4" borderId="1" xfId="3" applyNumberFormat="1" applyFont="1" applyFill="1" applyBorder="1" applyAlignment="1">
      <alignment horizontal="right" vertical="center"/>
    </xf>
    <xf numFmtId="165" fontId="4" fillId="4" borderId="2" xfId="3" applyNumberFormat="1" applyFont="1" applyFill="1" applyBorder="1" applyAlignment="1">
      <alignment horizontal="right" vertical="center"/>
    </xf>
    <xf numFmtId="6" fontId="4" fillId="4" borderId="4" xfId="2" applyNumberFormat="1" applyFont="1" applyFill="1" applyBorder="1" applyAlignment="1">
      <alignment horizontal="left" vertical="center"/>
    </xf>
    <xf numFmtId="0" fontId="15" fillId="0" borderId="15" xfId="0" applyFont="1" applyBorder="1"/>
    <xf numFmtId="0" fontId="15" fillId="0" borderId="15" xfId="0" applyFont="1" applyBorder="1" applyAlignment="1">
      <alignment horizontal="left" vertical="center"/>
    </xf>
    <xf numFmtId="0" fontId="2" fillId="0" borderId="5" xfId="0" applyFont="1" applyBorder="1"/>
    <xf numFmtId="0" fontId="2" fillId="0" borderId="0" xfId="0" applyFont="1" applyAlignment="1">
      <alignment horizontal="left" wrapText="1"/>
    </xf>
    <xf numFmtId="0" fontId="2" fillId="0" borderId="0" xfId="0" applyFont="1" applyAlignment="1">
      <alignment wrapText="1"/>
    </xf>
    <xf numFmtId="0" fontId="4" fillId="4" borderId="22" xfId="0" applyFont="1" applyFill="1" applyBorder="1" applyAlignment="1">
      <alignment horizontal="center" vertical="center"/>
    </xf>
    <xf numFmtId="49" fontId="12" fillId="10" borderId="0" xfId="0" applyNumberFormat="1" applyFont="1" applyFill="1" applyAlignment="1">
      <alignment horizontal="center" vertical="center"/>
    </xf>
    <xf numFmtId="49" fontId="6" fillId="2" borderId="12" xfId="0" applyNumberFormat="1" applyFont="1" applyFill="1" applyBorder="1" applyAlignment="1">
      <alignment horizontal="center" vertical="center" textRotation="90" wrapText="1"/>
    </xf>
    <xf numFmtId="49" fontId="6" fillId="0" borderId="6" xfId="0" applyNumberFormat="1" applyFont="1" applyBorder="1" applyAlignment="1" applyProtection="1">
      <alignment horizontal="right" vertical="center" wrapText="1"/>
      <protection locked="0"/>
    </xf>
    <xf numFmtId="49" fontId="6" fillId="0" borderId="7" xfId="0" applyNumberFormat="1" applyFont="1" applyBorder="1" applyAlignment="1" applyProtection="1">
      <alignment horizontal="right" vertical="center" wrapText="1"/>
      <protection locked="0"/>
    </xf>
    <xf numFmtId="49" fontId="0" fillId="0" borderId="0" xfId="0" applyNumberFormat="1" applyAlignment="1">
      <alignment horizontal="right" vertical="center"/>
    </xf>
    <xf numFmtId="49" fontId="7" fillId="0" borderId="7" xfId="0" applyNumberFormat="1" applyFont="1" applyBorder="1" applyAlignment="1" applyProtection="1">
      <alignment horizontal="right" vertical="center"/>
      <protection locked="0"/>
    </xf>
    <xf numFmtId="49" fontId="4" fillId="0" borderId="4" xfId="0" applyNumberFormat="1" applyFont="1" applyBorder="1" applyAlignment="1" applyProtection="1">
      <alignment horizontal="left" vertical="center"/>
      <protection locked="0"/>
    </xf>
    <xf numFmtId="0" fontId="21" fillId="0" borderId="17" xfId="0" applyFont="1" applyBorder="1"/>
    <xf numFmtId="0" fontId="1" fillId="17"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17" borderId="0" xfId="0" applyFont="1" applyFill="1" applyAlignment="1">
      <alignment horizontal="left" vertical="center"/>
    </xf>
    <xf numFmtId="0" fontId="2" fillId="0" borderId="0" xfId="0" applyFont="1" applyAlignment="1">
      <alignment horizontal="left" vertical="center" wrapText="1"/>
    </xf>
    <xf numFmtId="166" fontId="4" fillId="2" borderId="4" xfId="4" applyNumberFormat="1" applyFont="1" applyFill="1" applyBorder="1" applyAlignment="1">
      <alignment horizontal="center" vertical="center"/>
    </xf>
    <xf numFmtId="179" fontId="15" fillId="0" borderId="0" xfId="2" applyNumberFormat="1" applyFont="1" applyFill="1" applyBorder="1" applyAlignment="1">
      <alignment vertical="center" wrapText="1"/>
    </xf>
    <xf numFmtId="9" fontId="1" fillId="0" borderId="0" xfId="4" applyFont="1" applyProtection="1"/>
    <xf numFmtId="9" fontId="1" fillId="0" borderId="0" xfId="4" applyFont="1" applyBorder="1" applyProtection="1"/>
    <xf numFmtId="9" fontId="1" fillId="0" borderId="0" xfId="4" applyFont="1" applyAlignment="1" applyProtection="1">
      <alignment horizontal="left" vertical="center"/>
    </xf>
    <xf numFmtId="9" fontId="2" fillId="0" borderId="0" xfId="4" applyFont="1" applyAlignment="1" applyProtection="1">
      <alignment horizontal="left" vertical="center"/>
    </xf>
    <xf numFmtId="9" fontId="2" fillId="0" borderId="0" xfId="4" applyFont="1"/>
    <xf numFmtId="9" fontId="0" fillId="0" borderId="0" xfId="4" applyFont="1"/>
    <xf numFmtId="9" fontId="2" fillId="0" borderId="0" xfId="4" applyFont="1" applyAlignment="1">
      <alignment vertical="top"/>
    </xf>
    <xf numFmtId="9" fontId="1" fillId="0" borderId="0" xfId="4" applyFont="1"/>
    <xf numFmtId="9" fontId="0" fillId="0" borderId="0" xfId="4" applyFont="1" applyAlignment="1"/>
    <xf numFmtId="166" fontId="15" fillId="0" borderId="0" xfId="4" applyNumberFormat="1" applyFont="1" applyFill="1" applyBorder="1" applyAlignment="1">
      <alignment vertical="center" wrapText="1"/>
    </xf>
    <xf numFmtId="180" fontId="0" fillId="0" borderId="0" xfId="0" applyNumberFormat="1"/>
    <xf numFmtId="182" fontId="2" fillId="0" borderId="22" xfId="0" applyNumberFormat="1" applyFont="1" applyBorder="1" applyAlignment="1">
      <alignment horizontal="right"/>
    </xf>
    <xf numFmtId="6" fontId="2" fillId="0" borderId="12" xfId="0" applyNumberFormat="1" applyFont="1" applyBorder="1"/>
    <xf numFmtId="9" fontId="0" fillId="0" borderId="22" xfId="4" applyFont="1" applyBorder="1"/>
    <xf numFmtId="166" fontId="0" fillId="0" borderId="12" xfId="4" applyNumberFormat="1" applyFont="1" applyBorder="1"/>
    <xf numFmtId="0" fontId="15" fillId="17" borderId="0" xfId="0" applyFont="1" applyFill="1" applyAlignment="1">
      <alignment horizontal="right"/>
    </xf>
    <xf numFmtId="0" fontId="23" fillId="0" borderId="0" xfId="0" applyFont="1" applyAlignment="1">
      <alignment horizontal="left"/>
    </xf>
    <xf numFmtId="0" fontId="2" fillId="0" borderId="15" xfId="0" applyFont="1" applyBorder="1" applyAlignment="1">
      <alignment horizontal="center" vertical="center"/>
    </xf>
    <xf numFmtId="0" fontId="1" fillId="0" borderId="0" xfId="0" applyFont="1" applyAlignment="1">
      <alignment horizontal="center"/>
    </xf>
    <xf numFmtId="0" fontId="4" fillId="17" borderId="0" xfId="0" applyFont="1" applyFill="1" applyAlignment="1">
      <alignment horizontal="center" vertical="center"/>
    </xf>
    <xf numFmtId="0" fontId="3" fillId="0" borderId="13" xfId="1" applyFill="1" applyBorder="1" applyAlignment="1" applyProtection="1">
      <alignment horizontal="left" vertical="center"/>
      <protection locked="0"/>
    </xf>
    <xf numFmtId="0" fontId="3" fillId="0" borderId="11" xfId="1" applyFill="1" applyBorder="1" applyAlignment="1" applyProtection="1">
      <alignment horizontal="left" vertical="center"/>
      <protection locked="0"/>
    </xf>
    <xf numFmtId="0" fontId="2" fillId="17" borderId="0" xfId="0" applyFont="1" applyFill="1" applyAlignment="1">
      <alignment horizontal="center" vertical="top" wrapText="1"/>
    </xf>
    <xf numFmtId="0" fontId="2" fillId="17" borderId="15"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0" xfId="0" applyFont="1" applyFill="1" applyAlignment="1">
      <alignment horizontal="right" vertical="center"/>
    </xf>
    <xf numFmtId="6" fontId="4" fillId="2" borderId="1" xfId="2" applyNumberFormat="1" applyFont="1" applyFill="1" applyBorder="1" applyAlignment="1">
      <alignment horizontal="center" vertical="center"/>
    </xf>
    <xf numFmtId="6" fontId="4" fillId="2" borderId="2" xfId="2" applyNumberFormat="1" applyFont="1" applyFill="1" applyBorder="1" applyAlignment="1">
      <alignment horizontal="center" vertical="center"/>
    </xf>
    <xf numFmtId="6" fontId="4" fillId="2" borderId="3" xfId="2" applyNumberFormat="1" applyFont="1" applyFill="1" applyBorder="1" applyAlignment="1">
      <alignment horizontal="center" vertical="center"/>
    </xf>
    <xf numFmtId="0" fontId="15" fillId="17" borderId="0" xfId="0" applyFont="1" applyFill="1" applyAlignment="1">
      <alignment horizontal="center" vertical="top" wrapText="1"/>
    </xf>
    <xf numFmtId="0" fontId="4" fillId="0" borderId="17"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2" fillId="17" borderId="19" xfId="0" applyFont="1" applyFill="1" applyBorder="1" applyAlignment="1">
      <alignment horizontal="right"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2" fillId="17" borderId="0" xfId="0" applyFont="1" applyFill="1" applyAlignment="1">
      <alignment horizontal="left" vertical="top" wrapText="1"/>
    </xf>
    <xf numFmtId="179" fontId="15" fillId="0" borderId="15" xfId="2" applyNumberFormat="1" applyFont="1" applyFill="1" applyBorder="1" applyAlignment="1">
      <alignment horizontal="center" vertical="center" wrapText="1"/>
    </xf>
    <xf numFmtId="0" fontId="2" fillId="17" borderId="0" xfId="0" applyFont="1" applyFill="1" applyAlignment="1">
      <alignment horizontal="left"/>
    </xf>
    <xf numFmtId="0" fontId="4" fillId="0" borderId="16" xfId="0" applyFont="1" applyBorder="1" applyAlignment="1" applyProtection="1">
      <alignment horizontal="left" vertical="center"/>
      <protection locked="0"/>
    </xf>
    <xf numFmtId="14" fontId="4" fillId="0" borderId="16" xfId="0" applyNumberFormat="1" applyFont="1" applyBorder="1" applyAlignment="1" applyProtection="1">
      <alignment horizontal="center" vertical="center" wrapText="1"/>
      <protection locked="0"/>
    </xf>
    <xf numFmtId="14" fontId="4" fillId="0" borderId="11" xfId="0" applyNumberFormat="1" applyFont="1" applyBorder="1" applyAlignment="1" applyProtection="1">
      <alignment horizontal="center" vertical="center" wrapText="1"/>
      <protection locked="0"/>
    </xf>
    <xf numFmtId="179" fontId="15" fillId="17" borderId="5" xfId="2" applyNumberFormat="1" applyFont="1" applyFill="1" applyBorder="1" applyAlignment="1" applyProtection="1">
      <alignment horizontal="center"/>
    </xf>
    <xf numFmtId="0" fontId="22" fillId="0" borderId="13"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6" fontId="4" fillId="0" borderId="1" xfId="2" applyNumberFormat="1" applyFont="1" applyFill="1" applyBorder="1" applyAlignment="1" applyProtection="1">
      <alignment horizontal="center" vertical="center"/>
      <protection locked="0"/>
    </xf>
    <xf numFmtId="6" fontId="4" fillId="0" borderId="2" xfId="2" applyNumberFormat="1" applyFont="1" applyFill="1" applyBorder="1" applyAlignment="1" applyProtection="1">
      <alignment horizontal="center" vertical="center"/>
      <protection locked="0"/>
    </xf>
    <xf numFmtId="6" fontId="4" fillId="0" borderId="3" xfId="2" applyNumberFormat="1" applyFont="1" applyFill="1" applyBorder="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12" fillId="14" borderId="2" xfId="0" applyFont="1" applyFill="1" applyBorder="1" applyAlignment="1">
      <alignment horizontal="center" vertical="center"/>
    </xf>
    <xf numFmtId="0" fontId="12" fillId="14" borderId="1" xfId="0" applyFont="1" applyFill="1" applyBorder="1" applyAlignment="1">
      <alignment horizontal="left" vertical="center"/>
    </xf>
    <xf numFmtId="0" fontId="12" fillId="14" borderId="2" xfId="0" applyFont="1" applyFill="1" applyBorder="1" applyAlignment="1">
      <alignment horizontal="left" vertical="center"/>
    </xf>
    <xf numFmtId="0" fontId="12" fillId="15" borderId="1" xfId="0" applyFont="1" applyFill="1" applyBorder="1" applyAlignment="1">
      <alignment horizontal="left" vertical="center"/>
    </xf>
    <xf numFmtId="0" fontId="12" fillId="15" borderId="2" xfId="0" applyFont="1" applyFill="1" applyBorder="1" applyAlignment="1">
      <alignment horizontal="left" vertical="center"/>
    </xf>
    <xf numFmtId="0" fontId="12" fillId="15" borderId="3" xfId="0" applyFont="1" applyFill="1" applyBorder="1" applyAlignment="1">
      <alignment horizontal="left" vertical="center"/>
    </xf>
    <xf numFmtId="0" fontId="12" fillId="10" borderId="0" xfId="0" applyFont="1" applyFill="1" applyAlignment="1">
      <alignment horizontal="left" vertical="top"/>
    </xf>
    <xf numFmtId="10" fontId="0" fillId="0" borderId="15" xfId="4" applyNumberFormat="1" applyFont="1" applyBorder="1" applyAlignment="1">
      <alignment horizontal="left" vertical="top" wrapText="1"/>
    </xf>
    <xf numFmtId="10" fontId="0" fillId="0" borderId="0" xfId="4" applyNumberFormat="1" applyFont="1" applyAlignment="1">
      <alignment horizontal="left" vertical="top" wrapText="1"/>
    </xf>
    <xf numFmtId="10" fontId="0" fillId="0" borderId="0" xfId="4" applyNumberFormat="1" applyFont="1" applyAlignment="1">
      <alignment horizontal="center" vertical="top" wrapText="1"/>
    </xf>
  </cellXfs>
  <cellStyles count="5">
    <cellStyle name="Comma" xfId="3" builtinId="3"/>
    <cellStyle name="Currency" xfId="2" builtinId="4"/>
    <cellStyle name="Hyperlink" xfId="1" builtinId="8"/>
    <cellStyle name="Normal" xfId="0" builtinId="0"/>
    <cellStyle name="Percent" xfId="4" builtinId="5"/>
  </cellStyles>
  <dxfs count="269">
    <dxf>
      <font>
        <b/>
        <i val="0"/>
        <color rgb="FFFF0000"/>
      </font>
    </dxf>
    <dxf>
      <font>
        <b/>
        <i val="0"/>
        <color rgb="FFC00000"/>
      </font>
      <fill>
        <patternFill>
          <fgColor theme="0" tint="-0.14996795556505021"/>
        </patternFill>
      </fill>
    </dxf>
    <dxf>
      <font>
        <b/>
        <i val="0"/>
        <color rgb="FFC00000"/>
      </font>
      <fill>
        <patternFill>
          <f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dxf>
    <dxf>
      <font>
        <color theme="0" tint="-0.14996795556505021"/>
      </font>
      <fill>
        <patternFill>
          <bgColor theme="0" tint="-0.14996795556505021"/>
        </patternFill>
      </fill>
      <border>
        <left style="thin">
          <color auto="1"/>
        </left>
        <right style="thin">
          <color auto="1"/>
        </right>
        <top/>
        <bottom/>
        <vertical/>
        <horizontal/>
      </border>
    </dxf>
    <dxf>
      <font>
        <b/>
        <i val="0"/>
        <color rgb="FFFF0000"/>
      </font>
    </dxf>
    <dxf>
      <font>
        <color theme="0" tint="-0.14996795556505021"/>
      </font>
      <fill>
        <patternFill>
          <bgColor theme="0" tint="-0.14996795556505021"/>
        </patternFill>
      </fill>
      <border>
        <top/>
        <bottom/>
      </border>
    </dxf>
    <dxf>
      <font>
        <b/>
        <i val="0"/>
        <color theme="5"/>
      </font>
      <fill>
        <patternFill>
          <bgColor theme="0"/>
        </patternFill>
      </fill>
    </dxf>
    <dxf>
      <font>
        <b/>
        <i val="0"/>
        <color rgb="FFFF0000"/>
      </font>
    </dxf>
    <dxf>
      <fill>
        <patternFill>
          <bgColor theme="0" tint="-0.14996795556505021"/>
        </patternFill>
      </fill>
    </dxf>
    <dxf>
      <font>
        <color theme="0" tint="-0.14996795556505021"/>
      </font>
      <fill>
        <patternFill>
          <bgColor theme="0" tint="-0.14996795556505021"/>
        </patternFill>
      </fill>
      <border>
        <vertical/>
        <horizontal/>
      </border>
    </dxf>
    <dxf>
      <border>
        <left/>
        <right/>
        <top/>
        <bottom/>
        <vertical/>
        <horizontal/>
      </border>
    </dxf>
    <dxf>
      <font>
        <b/>
        <i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tint="-4.9989318521683403E-2"/>
      </font>
      <fill>
        <patternFill patternType="solid">
          <fgColor indexed="64"/>
          <bgColor theme="0" tint="-4.9989318521683403E-2"/>
        </patternFill>
      </fill>
      <border>
        <left/>
        <right/>
        <bottom/>
        <vertical/>
        <horizontal/>
      </border>
    </dxf>
    <dxf>
      <border>
        <left/>
        <right/>
        <top/>
        <bottom/>
        <vertical/>
        <horizontal/>
      </border>
    </dxf>
    <dxf>
      <font>
        <b/>
        <i val="0"/>
      </font>
      <fill>
        <patternFill>
          <bgColor theme="0"/>
        </patternFill>
      </fill>
      <border>
        <left style="thin">
          <color auto="1"/>
        </left>
        <right style="thin">
          <color auto="1"/>
        </right>
        <top style="thin">
          <color auto="1"/>
        </top>
        <bottom style="thin">
          <color auto="1"/>
        </bottom>
        <vertical/>
        <horizontal/>
      </border>
    </dxf>
    <dxf>
      <font>
        <strike val="0"/>
        <color theme="0" tint="-4.9989318521683403E-2"/>
      </font>
      <fill>
        <patternFill>
          <bgColor theme="0" tint="-4.9989318521683403E-2"/>
        </patternFill>
      </fill>
      <border>
        <vertical/>
        <horizontal/>
      </border>
    </dxf>
    <dxf>
      <font>
        <b/>
        <i val="0"/>
        <color rgb="FFFF0000"/>
      </font>
    </dxf>
    <dxf>
      <font>
        <b/>
        <i val="0"/>
        <color rgb="FFFF0000"/>
      </font>
    </dxf>
    <dxf>
      <numFmt numFmtId="169" formatCode="0.000000"/>
    </dxf>
    <dxf>
      <numFmt numFmtId="178" formatCode="0.000000000"/>
    </dxf>
    <dxf>
      <numFmt numFmtId="178" formatCode="0.000000000"/>
    </dxf>
    <dxf>
      <numFmt numFmtId="178" formatCode="0.000000000"/>
    </dxf>
    <dxf>
      <numFmt numFmtId="178" formatCode="0.000000000"/>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8" formatCode="0.000000000"/>
      <fill>
        <patternFill patternType="solid">
          <fgColor indexed="64"/>
          <bgColor theme="4" tint="0.79998168889431442"/>
        </patternFill>
      </fill>
    </dxf>
    <dxf>
      <font>
        <b/>
        <i val="0"/>
        <strike val="0"/>
        <condense val="0"/>
        <extend val="0"/>
        <outline val="0"/>
        <shadow val="0"/>
        <u val="none"/>
        <vertAlign val="baseline"/>
        <sz val="11"/>
        <color theme="1"/>
        <name val="Calibri"/>
        <family val="2"/>
        <scheme val="minor"/>
      </font>
      <numFmt numFmtId="3" formatCode="#,##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3" formatCode="#,##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3" formatCode="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3" formatCode="#,##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7" formatCode="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7"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7" formatCode="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7"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35" formatCode="_(* #,##0.00_);_(* \(#,##0.00\);_(* &quot;-&quot;??_);_(@_)"/>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35" formatCode="_(* #,##0.00_);_(* \(#,##0.00\);_(* &quot;-&quot;??_);_(@_)"/>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7" formatCode="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7" formatCode="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9" formatCode="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9" formatCode="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9" formatCode="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8" formatCode="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2" formatCode="0.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7" formatCode="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7" formatCode="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9" formatCode="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9" formatCode="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9" formatCode="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8" formatCode="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9" formatCode="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7" formatCode="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7" formatCode="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2" formatCode="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9" formatCode="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7" formatCode="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7" formatCode="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Arial"/>
        <family val="2"/>
        <scheme val="none"/>
      </font>
      <numFmt numFmtId="165"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12" formatCode="&quot;$&quot;#,##0.00_);[Red]\(&quot;$&quot;#,##0.0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1"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rgb="FFFFFF00"/>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dxf>
    <dxf>
      <font>
        <b/>
      </font>
      <fill>
        <patternFill>
          <fgColor indexed="64"/>
          <bgColor rgb="FFFFFF00"/>
        </patternFill>
      </fill>
    </dxf>
    <dxf>
      <border outline="0">
        <left style="medium">
          <color indexed="64"/>
        </left>
        <right style="medium">
          <color indexed="64"/>
        </right>
        <top style="medium">
          <color indexed="64"/>
        </top>
        <bottom style="thin">
          <color indexed="64"/>
        </bottom>
      </border>
    </dxf>
    <dxf>
      <fill>
        <patternFill patternType="none">
          <fgColor indexed="64"/>
          <bgColor auto="1"/>
        </patternFill>
      </fill>
      <alignment horizontal="right" vertical="center" indent="0" justifyLastLine="0" shrinkToFit="0" readingOrder="0"/>
    </dxf>
    <dxf>
      <border outline="0">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9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numFmt numFmtId="10" formatCode="&quot;$&quot;#,##0_);[Red]\(&quot;$&quot;#,##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12" formatCode="&quot;$&quot;#,##0.00_);[Red]\(&quot;$&quot;#,##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solid">
          <fgColor indexed="64"/>
          <bgColor rgb="FF00B05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solid">
          <fgColor indexed="64"/>
          <bgColor rgb="FF00B05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bottom style="thin">
          <color indexed="64"/>
        </bottom>
      </border>
      <protection locked="0" hidden="0"/>
    </dxf>
    <dxf>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165" formatCode="_(* #,##0_);_(* \(#,##0\);_(* &quot;-&quot;??_);_(@_)"/>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165" formatCode="_(* #,##0_);_(* \(#,##0\);_(*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dxf>
    <dxf>
      <font>
        <b/>
      </font>
      <fill>
        <patternFill patternType="none">
          <fgColor indexed="64"/>
          <bgColor auto="1"/>
        </patternFill>
      </fill>
    </dxf>
    <dxf>
      <border outline="0">
        <left style="medium">
          <color indexed="64"/>
        </left>
        <right style="medium">
          <color indexed="64"/>
        </right>
        <top style="medium">
          <color indexed="64"/>
        </top>
        <bottom style="thin">
          <color indexed="64"/>
        </bottom>
      </border>
    </dxf>
    <dxf>
      <alignment horizontal="right" vertical="center" indent="0" justifyLastLine="0" shrinkToFit="0" readingOrder="0"/>
    </dxf>
    <dxf>
      <border outline="0">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9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26822</xdr:colOff>
      <xdr:row>5</xdr:row>
      <xdr:rowOff>28071</xdr:rowOff>
    </xdr:to>
    <xdr:pic>
      <xdr:nvPicPr>
        <xdr:cNvPr id="2" name="Picture 1">
          <a:extLst>
            <a:ext uri="{FF2B5EF4-FFF2-40B4-BE49-F238E27FC236}">
              <a16:creationId xmlns:a16="http://schemas.microsoft.com/office/drawing/2014/main" id="{4742C0CD-C8BE-4CC6-81B3-D2AD6C95D23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08960" cy="1097280"/>
        </a:xfrm>
        <a:prstGeom prst="rect">
          <a:avLst/>
        </a:prstGeom>
        <a:noFill/>
      </xdr:spPr>
    </xdr:pic>
    <xdr:clientData/>
  </xdr:twoCellAnchor>
  <xdr:twoCellAnchor>
    <xdr:from>
      <xdr:col>4</xdr:col>
      <xdr:colOff>1034612</xdr:colOff>
      <xdr:row>0</xdr:row>
      <xdr:rowOff>54742</xdr:rowOff>
    </xdr:from>
    <xdr:to>
      <xdr:col>9</xdr:col>
      <xdr:colOff>1021911</xdr:colOff>
      <xdr:row>5</xdr:row>
      <xdr:rowOff>184616</xdr:rowOff>
    </xdr:to>
    <xdr:sp macro="" textlink="">
      <xdr:nvSpPr>
        <xdr:cNvPr id="3" name="Text Box 3">
          <a:extLst>
            <a:ext uri="{FF2B5EF4-FFF2-40B4-BE49-F238E27FC236}">
              <a16:creationId xmlns:a16="http://schemas.microsoft.com/office/drawing/2014/main" id="{513AE524-05F2-43FB-ACDE-278902C0F2B1}"/>
            </a:ext>
          </a:extLst>
        </xdr:cNvPr>
        <xdr:cNvSpPr txBox="1">
          <a:spLocks noChangeAspect="1"/>
        </xdr:cNvSpPr>
      </xdr:nvSpPr>
      <xdr:spPr>
        <a:xfrm>
          <a:off x="4122026" y="54742"/>
          <a:ext cx="2051049" cy="1115219"/>
        </a:xfrm>
        <a:prstGeom prst="rect">
          <a:avLst/>
        </a:prstGeom>
        <a:noFill/>
        <a:ln>
          <a:noFill/>
        </a:ln>
        <a:effectLst/>
        <a:extLst>
          <a:ext uri="{C572A759-6A51-4108-AA02-DFA0A04FC94B}">
            <ma14:wrappingTextBox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id="http://schemas.microsoft.com/office/word/2016/wordml/cid"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200" b="1">
              <a:effectLst/>
              <a:latin typeface="Trajan Pro"/>
              <a:ea typeface="Times New Roman" panose="02020603050405020304" pitchFamily="18" charset="0"/>
              <a:cs typeface="Arial" panose="020B0604020202020204" pitchFamily="34" charset="0"/>
            </a:rPr>
            <a:t>Jeffrey</a:t>
          </a:r>
          <a:r>
            <a:rPr lang="en-US" sz="1200" b="1" baseline="0">
              <a:effectLst/>
              <a:latin typeface="Trajan Pro"/>
              <a:ea typeface="Times New Roman" panose="02020603050405020304" pitchFamily="18" charset="0"/>
              <a:cs typeface="Arial" panose="020B0604020202020204" pitchFamily="34" charset="0"/>
            </a:rPr>
            <a:t> W. Cown</a:t>
          </a:r>
          <a:r>
            <a:rPr lang="en-US" sz="1200" b="1">
              <a:effectLst/>
              <a:latin typeface="Trajan Pro"/>
              <a:ea typeface="Times New Roman" panose="02020603050405020304" pitchFamily="18" charset="0"/>
              <a:cs typeface="Arial" panose="020B0604020202020204" pitchFamily="34" charset="0"/>
            </a:rPr>
            <a:t>, Director</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b="1">
              <a:effectLst/>
              <a:latin typeface="Trajan Pro"/>
              <a:ea typeface="Times New Roman" panose="02020603050405020304" pitchFamily="18" charset="0"/>
              <a:cs typeface="Arial" panose="020B0604020202020204" pitchFamily="34" charset="0"/>
            </a:rPr>
            <a:t> </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b="1">
              <a:effectLst/>
              <a:latin typeface="Trajan Pro"/>
              <a:ea typeface="MS Mincho" panose="02020609040205080304" pitchFamily="49" charset="-128"/>
              <a:cs typeface="Arial" panose="020B0604020202020204" pitchFamily="34" charset="0"/>
            </a:rPr>
            <a:t>Air Protection Branch</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MS Mincho" panose="02020609040205080304" pitchFamily="49" charset="-128"/>
              <a:cs typeface="Arial" panose="020B0604020202020204" pitchFamily="34" charset="0"/>
            </a:rPr>
            <a:t>4244 International Parkway</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MS Mincho" panose="02020609040205080304" pitchFamily="49" charset="-128"/>
              <a:cs typeface="Arial" panose="020B0604020202020204" pitchFamily="34" charset="0"/>
            </a:rPr>
            <a:t>Suite 120</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MS Mincho" panose="02020609040205080304" pitchFamily="49" charset="-128"/>
              <a:cs typeface="Arial" panose="020B0604020202020204" pitchFamily="34" charset="0"/>
            </a:rPr>
            <a:t>Atlanta, Georgia 30354</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MS Mincho" panose="02020609040205080304" pitchFamily="49" charset="-128"/>
              <a:cs typeface="Arial" panose="020B0604020202020204" pitchFamily="34" charset="0"/>
            </a:rPr>
            <a:t>404-363-7000</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Times New Roman" panose="02020603050405020304" pitchFamily="18" charset="0"/>
              <a:cs typeface="Arial" panose="020B0604020202020204" pitchFamily="34" charset="0"/>
            </a:rPr>
            <a:t> </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Times New Roman" panose="02020603050405020304" pitchFamily="18" charset="0"/>
              <a:cs typeface="Arial" panose="020B0604020202020204" pitchFamily="34" charset="0"/>
            </a:rPr>
            <a:t> </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4</xdr:col>
      <xdr:colOff>1127672</xdr:colOff>
      <xdr:row>1</xdr:row>
      <xdr:rowOff>131379</xdr:rowOff>
    </xdr:from>
    <xdr:to>
      <xdr:col>9</xdr:col>
      <xdr:colOff>673319</xdr:colOff>
      <xdr:row>1</xdr:row>
      <xdr:rowOff>136853</xdr:rowOff>
    </xdr:to>
    <xdr:cxnSp macro="">
      <xdr:nvCxnSpPr>
        <xdr:cNvPr id="5" name="Straight Connector 4">
          <a:extLst>
            <a:ext uri="{FF2B5EF4-FFF2-40B4-BE49-F238E27FC236}">
              <a16:creationId xmlns:a16="http://schemas.microsoft.com/office/drawing/2014/main" id="{22595656-0D53-4E66-B66D-3C74C70857DE}"/>
            </a:ext>
          </a:extLst>
        </xdr:cNvPr>
        <xdr:cNvCxnSpPr/>
      </xdr:nvCxnSpPr>
      <xdr:spPr>
        <a:xfrm flipV="1">
          <a:off x="4215086" y="328448"/>
          <a:ext cx="1609397" cy="547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20</xdr:col>
      <xdr:colOff>501650</xdr:colOff>
      <xdr:row>1</xdr:row>
      <xdr:rowOff>1435100</xdr:rowOff>
    </xdr:from>
    <xdr:ext cx="184731" cy="264560"/>
    <xdr:sp macro="" textlink="">
      <xdr:nvSpPr>
        <xdr:cNvPr id="2" name="TextBox 1">
          <a:extLst>
            <a:ext uri="{FF2B5EF4-FFF2-40B4-BE49-F238E27FC236}">
              <a16:creationId xmlns:a16="http://schemas.microsoft.com/office/drawing/2014/main" id="{129EF77B-E6C2-4B0C-9CFF-0A41EE58976E}"/>
            </a:ext>
          </a:extLst>
        </xdr:cNvPr>
        <xdr:cNvSpPr txBox="1"/>
      </xdr:nvSpPr>
      <xdr:spPr>
        <a:xfrm>
          <a:off x="1460500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BA7844-B339-42D4-9DCA-08B169C297AF}" name="Table1" displayName="Table1" ref="A2:AE227" totalsRowShown="0" headerRowDxfId="268" dataDxfId="266" totalsRowDxfId="264" headerRowBorderDxfId="267" tableBorderDxfId="265">
  <tableColumns count="31">
    <tableColumn id="1" xr3:uid="{D8DBB22C-CC49-4356-863F-51310CD44FDF}" name="Counter" dataDxfId="263">
      <calculatedColumnFormula>A2+1</calculatedColumnFormula>
    </tableColumn>
    <tableColumn id="15" xr3:uid="{267DCC7F-E83B-40ED-A083-A984295CDBAA}" name="Old Bus Number" dataDxfId="262" totalsRowDxfId="261"/>
    <tableColumn id="16" xr3:uid="{4C21E3DC-1EC1-4E29-8931-A55667B19D40}" name="Vehicle Identification Number(s):" dataDxfId="260" totalsRowDxfId="259"/>
    <tableColumn id="17" xr3:uid="{3662684F-C9C8-488E-8DEE-5E4FD4C62ED3}" name="Old Bus Manufacturer:" dataDxfId="258" totalsRowDxfId="257"/>
    <tableColumn id="18" xr3:uid="{8FCB1C34-4CA8-4293-9C97-92307D5D16C0}" name="Vehicle Model:" dataDxfId="256" totalsRowDxfId="255"/>
    <tableColumn id="3" xr3:uid="{42161C64-2A98-4F50-826C-484A79B4FC04}" name="Bus Type (A,B,C,D)" dataDxfId="254" totalsRowDxfId="253"/>
    <tableColumn id="64" xr3:uid="{22B7ABF4-F789-4BBD-824E-5B69B25A8F37}" name="Vehicle Model Year:" dataDxfId="252" totalsRowDxfId="251"/>
    <tableColumn id="20" xr3:uid="{DA703180-DEFD-409A-9CE0-BA99310F5828}" name="Engine Serial Number(s):" dataDxfId="250" totalsRowDxfId="249"/>
    <tableColumn id="21" xr3:uid="{DAD2E33B-8F6D-4AFB-99AF-0F9CEBF85F1A}" name="Engine Make:" dataDxfId="248" totalsRowDxfId="247"/>
    <tableColumn id="22" xr3:uid="{DC43F7D9-0CD1-41EC-B714-DB9ECEE2DB65}" name="Engine Model:" dataDxfId="246" totalsRowDxfId="245"/>
    <tableColumn id="23" xr3:uid="{160870A2-7FC6-42CB-B017-DD8899A188A7}" name="Engine Model Year:" dataDxfId="244" totalsRowDxfId="243"/>
    <tableColumn id="25" xr3:uid="{74B2FA22-8BBA-4C09-9D60-34B84837B70F}" name="Engine Horsepower (HP):" dataDxfId="242" totalsRowDxfId="241"/>
    <tableColumn id="26" xr3:uid="{6E5EA6AE-6DBD-41C9-A541-BE6E3872A208}" name="Engine Cylinder Displacement (L):" dataDxfId="240" totalsRowDxfId="239"/>
    <tableColumn id="27" xr3:uid="{D2C18774-084F-466C-8517-C8EEEFDEE8DF}" name="Engine Number of Cylinders:" dataDxfId="238" totalsRowDxfId="237"/>
    <tableColumn id="28" xr3:uid="{E01DDF63-8EB2-4CE9-B3FA-01D4082898B8}" name="Engine Family Name:" dataDxfId="236" totalsRowDxfId="235"/>
    <tableColumn id="32" xr3:uid="{0F1C90F7-1A56-48CF-A572-DA5D12EB0B7C}" name="Annual Miles Traveled" dataDxfId="234" totalsRowDxfId="233" dataCellStyle="Comma"/>
    <tableColumn id="4" xr3:uid="{AA18A41B-6129-4FA1-963F-682896C5D02D}" name="Remaining Life (years)         Set Policy" dataDxfId="232" totalsRowDxfId="231">
      <calculatedColumnFormula>IF(Table2[[#This Row],[Counter Number]]="","",IF(Application!$J$25="Case-by-Case","",IF(Application!$H$26-(Table2[[#This Row],[Year of Upgrade Action:]]-Table1[[#This Row],[Engine Model Year:]])&lt;3,"Not Eligible",Application!$H$26-(Table2[[#This Row],[Year of Upgrade Action:]]-Table1[[#This Row],[Engine Model Year:]]))))</calculatedColumnFormula>
    </tableColumn>
    <tableColumn id="5" xr3:uid="{C1CA935D-22F1-4979-9902-550F9A1BF788}" name="Remaining Life (years)               Case-by-Case" dataDxfId="230" totalsRowDxfId="229">
      <calculatedColumnFormula>Table1[[#This Row],[Remaining Life (years)         Set Policy]]</calculatedColumnFormula>
    </tableColumn>
    <tableColumn id="2" xr3:uid="{B48F61DC-E476-401A-8E63-4CCCF17067FC}" name="Old Fuel (mpg)" dataDxfId="228" totalsRowDxfId="227"/>
    <tableColumn id="33" xr3:uid="{C7E78F33-57BB-4276-A442-C9CE25FB23CC}" name="Annual Idling Hours:" dataDxfId="226" totalsRowDxfId="225"/>
    <tableColumn id="56" xr3:uid="{21C1DED8-F5F4-46F8-AA18-F2FEDCAE9C2D}" name="New Engine Fuel Type or Bus Eliminated:" dataDxfId="224" totalsRowDxfId="223" dataCellStyle="Currency"/>
    <tableColumn id="53" xr3:uid="{AE7ED18A-4C76-4D88-9015-DB09C0A812B1}" name="New Fuel (mpg) if Diesel" dataDxfId="222" totalsRowDxfId="221"/>
    <tableColumn id="41" xr3:uid="{6A38FE3F-3E9E-4965-8774-7FFC810EE970}" name="Cost of New Bus:" dataDxfId="220" totalsRowDxfId="219"/>
    <tableColumn id="43" xr3:uid="{829C3213-E048-4D93-ACAD-3FBBC6F7761F}" name="New Bus Number" dataDxfId="218" totalsRowDxfId="217"/>
    <tableColumn id="44" xr3:uid="{06FFBCC3-965C-404A-855D-4B021F219B59}" name="New Bus Manufacturer" dataDxfId="216" totalsRowDxfId="215"/>
    <tableColumn id="6" xr3:uid="{CD0702B1-5D30-470E-A7ED-2AACFBD6AC1C}" name="Bus Type (A,B,C,D) " dataDxfId="214"/>
    <tableColumn id="45" xr3:uid="{987B50CD-E1DA-4E13-86FF-6938B5DFEDA3}" name="New Engine Model Year:" dataDxfId="213" totalsRowDxfId="212"/>
    <tableColumn id="51" xr3:uid="{6EDB60B7-FF4D-4CD2-8036-13A06567E687}" name="New Engine Family Name:" dataDxfId="211" totalsRowDxfId="210"/>
    <tableColumn id="47" xr3:uid="{7A5549E7-5824-428C-9A20-133A6C7D485E}" name="New Engine Horsepower (HP):" dataDxfId="209" totalsRowDxfId="208"/>
    <tableColumn id="49" xr3:uid="{A64560C2-BD2C-4170-85D3-C144CB0FD2B3}" name="New Engine Cylinder Displacement (L):" dataDxfId="207" totalsRowDxfId="206"/>
    <tableColumn id="50" xr3:uid="{3D4305D3-2DBF-442A-ADB3-3F6E526B4C16}" name="New Engine Number of Cylinders:" dataDxfId="205" totalsRowDxfId="204"/>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FBEB96-DEE5-43E6-9901-E1B219F79278}" name="Table2" displayName="Table2" ref="A2:CG228" totalsRowCount="1" headerRowDxfId="203" dataDxfId="201" totalsRowDxfId="199" headerRowBorderDxfId="202" tableBorderDxfId="200">
  <autoFilter ref="A2:CG227" xr:uid="{6CD3A0CB-593E-4750-A508-5D7B8632B999}"/>
  <tableColumns count="85">
    <tableColumn id="1" xr3:uid="{BB85D77A-E10A-44B7-A1C7-91F540321D1A}" name="Counter Number" totalsRowLabel="Total" dataDxfId="198" totalsRowDxfId="197">
      <calculatedColumnFormula>A2+1</calculatedColumnFormula>
    </tableColumn>
    <tableColumn id="2" xr3:uid="{B1E8D438-E067-4B02-9081-250DDB2C9849}" name="Counter Name" dataDxfId="196" totalsRowDxfId="195">
      <calculatedColumnFormula>IF(Table2[[#This Row],[Counter Number]]="","",Application!$D$16)</calculatedColumnFormula>
    </tableColumn>
    <tableColumn id="3" xr3:uid="{BCF0A39D-CEFA-411F-A468-5903316589C9}" name="Fiscal Year of EPA Funds Used:" dataDxfId="194" totalsRowDxfId="193">
      <calculatedColumnFormula>IF(Table2[[#This Row],[Counter Number]]="","",Application!$D$14)</calculatedColumnFormula>
    </tableColumn>
    <tableColumn id="15" xr3:uid="{127E92FB-CB92-406C-9643-EBA5DDFDF76D}" name="Vehicle or Engine Group Name" dataDxfId="192" totalsRowDxfId="191">
      <calculatedColumnFormula>IF(Table2[[#This Row],[Counter Number]]="","",Table1[[#This Row],[Old Bus Number]])</calculatedColumnFormula>
    </tableColumn>
    <tableColumn id="5" xr3:uid="{7755C924-38DC-40E6-AFA0-321074E07AC6}" name="Fleet Owner:" dataDxfId="190" totalsRowDxfId="189">
      <calculatedColumnFormula>IF(Table2[[#This Row],[Counter Number]]="","",Application!$D$15)</calculatedColumnFormula>
    </tableColumn>
    <tableColumn id="59" xr3:uid="{4BF64B09-0E16-49CA-B57E-B22A98482DC6}" name="Vehicle or Engine Group Type:" dataDxfId="188" totalsRowDxfId="187">
      <calculatedColumnFormula>IF(Table2[[#This Row],[Counter Number]]="","","On Highway")</calculatedColumnFormula>
    </tableColumn>
    <tableColumn id="7" xr3:uid="{B1896E7F-1668-4A02-A84F-F102F70AD341}" name="Primary Place of Performance" dataDxfId="186" totalsRowDxfId="185">
      <calculatedColumnFormula>IF(Table2[[#This Row],[Counter Number]]="","",I3)</calculatedColumnFormula>
    </tableColumn>
    <tableColumn id="8" xr3:uid="{952B9DA9-857F-4084-8D13-56346C9BEDE9}" name=" - State(s):" dataDxfId="184" totalsRowDxfId="183">
      <calculatedColumnFormula>IF(Table2[[#This Row],[Counter Number]]="","","Georgia")</calculatedColumnFormula>
    </tableColumn>
    <tableColumn id="9" xr3:uid="{A734268C-41B9-467D-A1F7-1130D6453B85}" name=" - County:" dataDxfId="182" totalsRowDxfId="181">
      <calculatedColumnFormula>IF(Table2[[#This Row],[Counter Number]]="","",Application!$D$16)</calculatedColumnFormula>
    </tableColumn>
    <tableColumn id="60" xr3:uid="{737ABB0E-DF8A-46D3-9F69-FB6DC5B85559}" name=" - City:" dataDxfId="180" totalsRowDxfId="179">
      <calculatedColumnFormula>IF(Table2[[#This Row],[Counter Number]]="","",Application!$D$21)</calculatedColumnFormula>
    </tableColumn>
    <tableColumn id="11" xr3:uid="{4738BC42-FEE8-4A37-A86E-D554CEA6081C}" name=" - Zip Code:" dataDxfId="178" totalsRowDxfId="177">
      <calculatedColumnFormula>IF(Table2[[#This Row],[Counter Number]]="","",Application!$J$21)</calculatedColumnFormula>
    </tableColumn>
    <tableColumn id="61" xr3:uid="{AB8410FF-17D9-4E09-90D0-9E060DD6311E}" name="Target Fleet:" dataDxfId="176" totalsRowDxfId="175">
      <calculatedColumnFormula>IF(Table2[[#This Row],[Counter Number]]="","","School Bus")</calculatedColumnFormula>
    </tableColumn>
    <tableColumn id="62" xr3:uid="{D9C18572-B434-4D8D-BC11-F26ECF39AEE8}" name="Vehicle Class or Equipment Type:" dataDxfId="174" totalsRowDxfId="173">
      <calculatedColumnFormula>IF(Table2[[#This Row],[Counter Number]]="","","School Bus")</calculatedColumnFormula>
    </tableColumn>
    <tableColumn id="14" xr3:uid="{754305F1-004C-4B2D-BB16-B8CAA757D1CF}" name="Quantity:" dataDxfId="172" totalsRowDxfId="171">
      <calculatedColumnFormula>IF(Table2[[#This Row],[Counter Number]]="","",1)</calculatedColumnFormula>
    </tableColumn>
    <tableColumn id="16" xr3:uid="{235A13B1-24D6-49D9-ABF5-552640C2C943}" name="Vehicle Identification Number(s):" dataDxfId="170" totalsRowDxfId="169">
      <calculatedColumnFormula>IF(Table2[[#This Row],[Counter Number]]="","",Table1[[#This Row],[Vehicle Identification Number(s):]])</calculatedColumnFormula>
    </tableColumn>
    <tableColumn id="17" xr3:uid="{0F4D1AC1-5A2C-4C49-9F08-87961DEE91D3}" name="Vehicle Make:" dataDxfId="168" totalsRowDxfId="167">
      <calculatedColumnFormula>IF(Table2[[#This Row],[Counter Number]]="","",Table1[[#This Row],[Old Bus Manufacturer:]])</calculatedColumnFormula>
    </tableColumn>
    <tableColumn id="18" xr3:uid="{4950EA0F-0984-42E3-B341-0C034D7BDBA0}" name="Vehicle Model:" dataDxfId="166" totalsRowDxfId="165">
      <calculatedColumnFormula>IF(Table2[[#This Row],[Counter Number]]="","",Table1[[#This Row],[Vehicle Model:]])</calculatedColumnFormula>
    </tableColumn>
    <tableColumn id="64" xr3:uid="{05D45512-10CD-4DEB-94DB-657D1A95EAEF}" name="Vehicle Model Year:" dataDxfId="164" totalsRowDxfId="163">
      <calculatedColumnFormula>IF(Table2[[#This Row],[Counter Number]]="","",Table1[[#This Row],[Vehicle Model Year:]])</calculatedColumnFormula>
    </tableColumn>
    <tableColumn id="20" xr3:uid="{1BD7F85C-DD30-45EA-B0D1-81080E332B82}" name="Engine Serial Number(s):" dataDxfId="162" totalsRowDxfId="161">
      <calculatedColumnFormula>IF(Table2[[#This Row],[Counter Number]]="","",Table1[[#This Row],[Engine Serial Number(s):]])</calculatedColumnFormula>
    </tableColumn>
    <tableColumn id="21" xr3:uid="{3513614C-3E34-4216-A429-5ACCA0721922}" name="Engine Make:" dataDxfId="160" totalsRowDxfId="159">
      <calculatedColumnFormula>IF(Table2[[#This Row],[Counter Number]]="","",Table1[[#This Row],[Engine Make:]])</calculatedColumnFormula>
    </tableColumn>
    <tableColumn id="22" xr3:uid="{1F486E9D-AD34-408A-B020-FB4CB255B5FC}" name="Engine Model:" dataDxfId="158" totalsRowDxfId="157">
      <calculatedColumnFormula>IF(Table2[[#This Row],[Counter Number]]="","",Table1[[#This Row],[Engine Model:]])</calculatedColumnFormula>
    </tableColumn>
    <tableColumn id="23" xr3:uid="{B6D0B150-FF08-46BA-BA54-62425548AC19}" name="Engine Model Year:" dataDxfId="156" totalsRowDxfId="155">
      <calculatedColumnFormula>IF(Table2[[#This Row],[Counter Number]]="","",Table1[[#This Row],[Engine Model Year:]])</calculatedColumnFormula>
    </tableColumn>
    <tableColumn id="98" xr3:uid="{6DDA92A3-F89A-4F60-99EF-1E359A6B0581}" name="Engine Tier:" dataDxfId="154" totalsRowDxfId="153">
      <calculatedColumnFormula>IF(Table2[[#This Row],[Counter Number]]="","","NA")</calculatedColumnFormula>
    </tableColumn>
    <tableColumn id="25" xr3:uid="{46AAA18C-D2EE-4FB8-A570-9CACE49AB340}" name="Engine Horsepower:" dataDxfId="152" totalsRowDxfId="151">
      <calculatedColumnFormula>IF(Table2[[#This Row],[Counter Number]]="","",Table1[[#This Row],[Engine Horsepower (HP):]])</calculatedColumnFormula>
    </tableColumn>
    <tableColumn id="26" xr3:uid="{82C39190-A4D5-48CB-A76A-6FDA662889D3}" name="Engine Cylinder Displacement:" dataDxfId="150" totalsRowDxfId="149">
      <calculatedColumnFormula>IF(Table2[[#This Row],[Counter Number]]="","",Table1[[#This Row],[Engine Cylinder Displacement (L):]]&amp;" L")</calculatedColumnFormula>
    </tableColumn>
    <tableColumn id="27" xr3:uid="{9432A03E-8C48-4E69-B0F8-EF4D1B633A7F}" name="Engine Number of Cylinders:" dataDxfId="148" totalsRowDxfId="147">
      <calculatedColumnFormula>IF(Table2[[#This Row],[Counter Number]]="","",Table1[[#This Row],[Engine Number of Cylinders:]])</calculatedColumnFormula>
    </tableColumn>
    <tableColumn id="28" xr3:uid="{2D56D6E1-153F-4490-8041-0F246C52AF9D}" name="Engine Family Name:" dataDxfId="146" totalsRowDxfId="145">
      <calculatedColumnFormula>IF(Table2[[#This Row],[Counter Number]]="","",Table1[[#This Row],[Engine Family Name:]])</calculatedColumnFormula>
    </tableColumn>
    <tableColumn id="29" xr3:uid="{A515A611-9B34-45FF-AE0A-98FEC9BA0BDE}" name="Engine Fuel Type:" dataDxfId="144" totalsRowDxfId="143">
      <calculatedColumnFormula>IF(Table2[[#This Row],[Counter Number]]="","","ULSD")</calculatedColumnFormula>
    </tableColumn>
    <tableColumn id="30" xr3:uid="{DDB4560D-74D2-444B-8AEB-EE0A7672FB47}" name="Old ULSD Used (gal):" dataDxfId="142" totalsRowDxfId="141">
      <calculatedColumnFormula>IF(Table2[[#This Row],[Counter Number]]="","",Table2[[#This Row],[Annual Miles Traveled:]]/Table1[[#This Row],[Old Fuel (mpg)]])</calculatedColumnFormula>
    </tableColumn>
    <tableColumn id="31" xr3:uid="{EEFDB01E-12E7-4226-B750-529518033D1C}" name="Annual Usage Rate:" dataDxfId="140" totalsRowDxfId="139">
      <calculatedColumnFormula>IF(Table2[[#This Row],[Counter Number]]="","","NA")</calculatedColumnFormula>
    </tableColumn>
    <tableColumn id="32" xr3:uid="{FDF8F87D-0374-4D4E-B907-CE50A47F1A4A}" name="Annual Miles Traveled:" dataDxfId="138" totalsRowDxfId="137" dataCellStyle="Comma">
      <calculatedColumnFormula>IF(Table2[[#This Row],[Counter Number]]="","",Table1[[#This Row],[Annual Miles Traveled]])</calculatedColumnFormula>
    </tableColumn>
    <tableColumn id="33" xr3:uid="{16EAD51C-9AE8-4481-989C-BE69DF64197F}" name="Annual Idling Hours:" dataDxfId="136" totalsRowDxfId="135">
      <calculatedColumnFormula>IF(Table2[[#This Row],[Counter Number]]="","",Table1[[#This Row],[Annual Idling Hours:]])</calculatedColumnFormula>
    </tableColumn>
    <tableColumn id="58" xr3:uid="{77A3A503-01D7-4B06-879E-69664663BC8E}" name="Annual Hoteling Hours:" dataDxfId="134" totalsRowDxfId="133">
      <calculatedColumnFormula>IF(Table2[[#This Row],[Counter Number]]="","","NA")</calculatedColumnFormula>
    </tableColumn>
    <tableColumn id="65" xr3:uid="{7F588A42-DC28-48DB-99A5-6E7E7508B805}" name="Remaining Life:" totalsRowFunction="custom" dataDxfId="132" totalsRowDxfId="131">
      <calculatedColumnFormula>IF(Application!$J$25="Set Policy",Table1[[#This Row],[Remaining Life (years)         Set Policy]],Table1[[#This Row],[Remaining Life (years)               Case-by-Case]])</calculatedColumnFormula>
      <totalsRowFormula>IFERROR(LOOKUP("Not Eligible",#REF!),"")</totalsRowFormula>
    </tableColumn>
    <tableColumn id="52" xr3:uid="{E8FC70C5-FA70-40E3-901D-988D0AA2C940}" name="Normal Attrition Year:" dataDxfId="130" totalsRowDxfId="129">
      <calculatedColumnFormula>IF(Table2[[#This Row],[Counter Number]]="","",IF(Application!$J$25="Case-by-Case","NA",Table2[[#This Row],[Fiscal Year of EPA Funds Used:]]+Table2[[#This Row],[Remaining Life:]]))</calculatedColumnFormula>
    </tableColumn>
    <tableColumn id="40" xr3:uid="{511C8B5F-6AB3-427A-AE26-73E314450F1D}" name="New vs. Old Split" dataDxfId="128" totalsRowDxfId="127"/>
    <tableColumn id="38" xr3:uid="{03475582-CF2F-49CD-8D58-3113C36D4037}" name="Year of Upgrade Action:" dataDxfId="126" totalsRowDxfId="125" dataCellStyle="Currency">
      <calculatedColumnFormula>IF(Table2[[#This Row],[Counter Number]]="","",Application!$D$14+1)</calculatedColumnFormula>
    </tableColumn>
    <tableColumn id="39" xr3:uid="{33030EE3-EFC2-43F2-A731-CD2FDA5A1FB9}" name="Upgrade Type:" dataDxfId="124" totalsRowDxfId="123" dataCellStyle="Currency">
      <calculatedColumnFormula>IF(Table2[[#This Row],[Counter Number]]="","","Vehicle Replacement")</calculatedColumnFormula>
    </tableColumn>
    <tableColumn id="24" xr3:uid="{5D6ADEEE-90E4-4C7F-BACE-CBA452134725}" name="Upgrade:" totalsRowLabel="Total Project Cost" dataDxfId="122" totalsRowDxfId="121">
      <calculatedColumnFormula>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calculatedColumnFormula>
    </tableColumn>
    <tableColumn id="41" xr3:uid="{76D5D1FE-E309-42D9-8524-82DCAAF87B68}" name="Upgrade Cost Per Unit" totalsRowFunction="sum" dataDxfId="120" totalsRowDxfId="119" dataCellStyle="Currency">
      <calculatedColumnFormula>IF(Table2[[#This Row],[Counter Number]]="","",Table1[[#This Row],[Cost of New Bus:]])</calculatedColumnFormula>
    </tableColumn>
    <tableColumn id="42" xr3:uid="{0C5BF05C-187E-4238-8CF2-BD51B2E52812}" name="Upgrade Labor Cost Per Unit:" dataDxfId="118" totalsRowDxfId="117">
      <calculatedColumnFormula>IF(Table2[[#This Row],[Counter Number]]="","","NA")</calculatedColumnFormula>
    </tableColumn>
    <tableColumn id="45" xr3:uid="{E6AF3786-A272-4433-9E09-C3FDEC658F7C}" name="New Engine Model Year:" dataDxfId="116" totalsRowDxfId="115">
      <calculatedColumnFormula>IF(Table2[[#This Row],[Counter Number]]="","",Table1[[#This Row],[New Engine Model Year:]])</calculatedColumnFormula>
    </tableColumn>
    <tableColumn id="99" xr3:uid="{94DDA956-4197-40EA-8DBA-A2B6084F157F}" name="New Engine Tier:" dataDxfId="114" totalsRowDxfId="113">
      <calculatedColumnFormula>IF(Table2[[#This Row],[Counter Number]]="","","NA")</calculatedColumnFormula>
    </tableColumn>
    <tableColumn id="47" xr3:uid="{7B270712-82B5-45EC-BD1D-913003F64B22}" name="New Engine Horsepower:" dataDxfId="112" totalsRowDxfId="111">
      <calculatedColumnFormula>IF(Table2[[#This Row],[Counter Number]]="","",Table1[[#This Row],[New Engine Horsepower (HP):]])</calculatedColumnFormula>
    </tableColumn>
    <tableColumn id="48" xr3:uid="{AD2CEBDE-8D89-4126-8E18-715F32767ACF}" name="New Engine Duty Cycle:" dataDxfId="110" totalsRowDxfId="109">
      <calculatedColumnFormula>IF(Table2[[#This Row],[Counter Number]]="","","NA")</calculatedColumnFormula>
    </tableColumn>
    <tableColumn id="49" xr3:uid="{A39C5BE0-2856-4A9D-B5AF-D23FCE547B33}" name="New Engine Cylinder Displacement:" dataDxfId="108" totalsRowDxfId="107">
      <calculatedColumnFormula>IF(Table2[[#This Row],[Counter Number]]="","",Table1[[#This Row],[New Engine Cylinder Displacement (L):]]&amp;" L")</calculatedColumnFormula>
    </tableColumn>
    <tableColumn id="50" xr3:uid="{30F99BC9-4C4F-4894-8465-1472CF979F26}" name="New Engine Number of Cylinders:" dataDxfId="106" totalsRowDxfId="105">
      <calculatedColumnFormula>IF(Table2[[#This Row],[Counter Number]]="","",Table1[[#This Row],[New Engine Number of Cylinders:]])</calculatedColumnFormula>
    </tableColumn>
    <tableColumn id="51" xr3:uid="{7170D900-ED05-465A-984D-4BC0B2AE481F}" name="New Engine Family Name:" dataDxfId="104" totalsRowDxfId="103">
      <calculatedColumnFormula>IF(Table2[[#This Row],[Counter Number]]="","",Table1[[#This Row],[New Engine Family Name:]])</calculatedColumnFormula>
    </tableColumn>
    <tableColumn id="56" xr3:uid="{382451D4-E706-4B77-9AC8-B48DF7C9DD2A}" name="New Engine Fuel Type:" dataDxfId="102" totalsRowDxfId="101" dataCellStyle="Currency">
      <calculatedColumnFormula>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calculatedColumnFormula>
    </tableColumn>
    <tableColumn id="54" xr3:uid="{5591AED2-8F01-4E96-B64C-664DFAAB55FF}" name="Annual Hoteling Hours Reduced:" dataDxfId="100" totalsRowDxfId="99">
      <calculatedColumnFormula>IF(Table2[[#This Row],[Counter Number]]="","","NA")</calculatedColumnFormula>
    </tableColumn>
    <tableColumn id="55" xr3:uid="{5F8C9A0E-FB56-45A1-8316-8CEFCDE6BAF6}" name="New ULSD Used (gal):" dataDxfId="98" totalsRowDxfId="97">
      <calculatedColumnFormula>IF(Table2[[#This Row],[Counter Number]]="","",IF(Table2[[#This Row],[New Engine Fuel Type:]]="ULSD",Table1[[#This Row],[Annual Miles Traveled]]/Table1[[#This Row],[New Fuel (mpg) if Diesel]],""))</calculatedColumnFormula>
    </tableColumn>
    <tableColumn id="66" xr3:uid="{7F7FB045-E2F3-40E1-9F7E-21B4FB89848E}" name="Data &amp; Calculation Split" dataDxfId="96" totalsRowDxfId="95"/>
    <tableColumn id="68" xr3:uid="{A879C287-80C5-4120-8E29-8150DC8C4635}" name="Old Bus NOx Emissions (tons/yr)" totalsRowFunction="sum" dataDxfId="94" totalsRowDxfId="93">
      <calculatedColumnFormula>IF(Table2[[#This Row],[Counter Number]]="","",Table2[[#This Row],[Annual Miles Traveled:]]*VLOOKUP(Table2[[#This Row],[Engine Model Year:]],EFTable[],3,FALSE))</calculatedColumnFormula>
    </tableColumn>
    <tableColumn id="6" xr3:uid="{E007CDFD-D852-4DCD-8F83-8481D1DF9882}" name="New Bus NOx Emissions (tons/yr)" totalsRowFunction="sum" dataDxfId="92" totalsRowDxfId="91">
      <calculatedColumnFormula>IF(Table2[[#This Row],[Counter Number]]="","",Table2[[#This Row],[Annual Miles Traveled:]]*IF(Table2[[#This Row],[New Engine Fuel Type:]]="ULSD",VLOOKUP(Table2[[#This Row],[New Engine Model Year:]],EF!$A$2:$G$27,3,FALSE),VLOOKUP(Table2[[#This Row],[New Engine Fuel Type:]],EF!$B$2:$G$31,2,FALSE)))</calculatedColumnFormula>
    </tableColumn>
    <tableColumn id="35" xr3:uid="{20D40A59-93E4-48F5-80A6-49B1C4205160}" name="Reduction Bus NOx Emissions (tons/yr)" totalsRowFunction="sum" dataDxfId="90" totalsRowDxfId="89">
      <calculatedColumnFormula>IF(Table2[[#This Row],[Counter Number]]="","",Table2[[#This Row],[Old Bus NOx Emissions (tons/yr)]]-Table2[[#This Row],[New Bus NOx Emissions (tons/yr)]])</calculatedColumnFormula>
    </tableColumn>
    <tableColumn id="36" xr3:uid="{E558693E-697A-4498-AEE3-1298148F2209}" name="Percent NOx Reduction" totalsRowFunction="custom" dataDxfId="88" totalsRowDxfId="87" dataCellStyle="Percent">
      <calculatedColumnFormula>IF(Table2[[#This Row],[Counter Number]]="","",Table2[[#This Row],[Reduction Bus NOx Emissions (tons/yr)]]/Table2[[#This Row],[Old Bus NOx Emissions (tons/yr)]])</calculatedColumnFormula>
      <totalsRowFormula>Table2[[#Totals],[Reduction Bus NOx Emissions (tons/yr)]]/BA228</totalsRowFormula>
    </tableColumn>
    <tableColumn id="37" xr3:uid="{189E2615-4F6B-4A27-9D3D-DBC85851027D}" name="Lifetime NOx Reduction (tons)" totalsRowFunction="sum" dataDxfId="86" totalsRowDxfId="85">
      <calculatedColumnFormula>IF(Table2[[#This Row],[Counter Number]]="","",Table2[[#This Row],[Reduction Bus NOx Emissions (tons/yr)]]*Table2[[#This Row],[Remaining Life:]])</calculatedColumnFormula>
    </tableColumn>
    <tableColumn id="57" xr3:uid="{4ED280E2-44CC-4AE5-884B-98C89AEA649F}" name="Cost Effectivnes of NOx Reduction ($/ton)" totalsRowFunction="custom" dataDxfId="84" totalsRowDxfId="83" dataCellStyle="Currency">
      <calculatedColumnFormula>IF(Table2[[#This Row],[Counter Number]]="","",IF(Table2[[#This Row],[Lifetime NOx Reduction (tons)]]=0,"NA",Table2[[#This Row],[Upgrade Cost Per Unit]]/Table2[[#This Row],[Lifetime NOx Reduction (tons)]]))</calculatedColumnFormula>
      <totalsRowFormula>Application!$H$35/Table2[[#Totals],[Lifetime NOx Reduction (tons)]]</totalsRowFormula>
    </tableColumn>
    <tableColumn id="69" xr3:uid="{758E9763-FAB8-4017-BFBD-A78D9B31015E}" name="Old Bus PM2.5 Emissions (tons/yr)" totalsRowFunction="sum" dataDxfId="82" totalsRowDxfId="81">
      <calculatedColumnFormula>IF(Table2[[#This Row],[Counter Number]]="","",Table2[[#This Row],[Annual Miles Traveled:]]*VLOOKUP(Table2[[#This Row],[Engine Model Year:]],EF!$A$2:$G$27,4,FALSE))</calculatedColumnFormula>
    </tableColumn>
    <tableColumn id="88" xr3:uid="{D3744C9C-45C3-4C14-9427-9F2ABD2D334C}" name="New Bus PM2.5 Emissions (tons/yr)" totalsRowFunction="sum" dataDxfId="80" totalsRowDxfId="79">
      <calculatedColumnFormula>IF(Table2[[#This Row],[Counter Number]]="","",Table2[[#This Row],[Annual Miles Traveled:]]*IF(Table2[[#This Row],[New Engine Fuel Type:]]="ULSD",VLOOKUP(Table2[[#This Row],[New Engine Model Year:]],EF!$A$2:$G$27,4,FALSE),VLOOKUP(Table2[[#This Row],[New Engine Fuel Type:]],EF!$B$2:$G$31,3,FALSE)))</calculatedColumnFormula>
    </tableColumn>
    <tableColumn id="89" xr3:uid="{64A77ECE-0392-4BE3-8E8A-E5984668E4D4}" name="Reduction Bus PM2.5 Emissions (tons/yr)" totalsRowFunction="sum" dataDxfId="78" totalsRowDxfId="77">
      <calculatedColumnFormula>IF(Table2[[#This Row],[Counter Number]]="","",Table2[[#This Row],[Old Bus PM2.5 Emissions (tons/yr)]]-Table2[[#This Row],[New Bus PM2.5 Emissions (tons/yr)]])</calculatedColumnFormula>
    </tableColumn>
    <tableColumn id="90" xr3:uid="{C4AB9973-CF2F-431D-8DB1-B7010563CE2B}" name="Percent PM2.5 Reduction" totalsRowFunction="custom" dataDxfId="76" totalsRowDxfId="75">
      <calculatedColumnFormula>IF(Table2[[#This Row],[Counter Number]]="","",Table2[[#This Row],[Reduction Bus PM2.5 Emissions (tons/yr)]]/Table2[[#This Row],[Old Bus PM2.5 Emissions (tons/yr)]])</calculatedColumnFormula>
      <totalsRowFormula>Table2[[#Totals],[Reduction Bus PM2.5 Emissions (tons/yr)]]/Table2[[#Totals],[Old Bus PM2.5 Emissions (tons/yr)]]</totalsRowFormula>
    </tableColumn>
    <tableColumn id="91" xr3:uid="{95BA8226-2E9E-480C-9418-AA1FAEF28B49}" name="Lifetime PM2.5 Reduction (tons)" totalsRowFunction="sum" dataDxfId="74" totalsRowDxfId="73">
      <calculatedColumnFormula>IF(Table2[[#This Row],[Counter Number]]="","",Table2[[#This Row],[Reduction Bus PM2.5 Emissions (tons/yr)]]*Table2[[#This Row],[Remaining Life:]])</calculatedColumnFormula>
    </tableColumn>
    <tableColumn id="92" xr3:uid="{79B003E1-2542-40B9-B23E-49C848761425}" name="Cost Effectivnes of PM2.5 Reduction ($/ton)" totalsRowFunction="custom" dataDxfId="72" totalsRowDxfId="71">
      <calculatedColumnFormula>IF(Table2[[#This Row],[Counter Number]]="","",IF(Table2[[#This Row],[Lifetime PM2.5 Reduction (tons)]]=0,"NA",Table2[[#This Row],[Upgrade Cost Per Unit]]/Table2[[#This Row],[Lifetime PM2.5 Reduction (tons)]]))</calculatedColumnFormula>
      <totalsRowFormula>Application!$H$35/Table2[[#Totals],[Lifetime PM2.5 Reduction (tons)]]</totalsRowFormula>
    </tableColumn>
    <tableColumn id="93" xr3:uid="{F4397880-241F-417E-9487-DAFAD42F1172}" name="Old Bus HC Emissions (tons/yr)" totalsRowFunction="sum" dataDxfId="70" totalsRowDxfId="69">
      <calculatedColumnFormula>IF(Table2[[#This Row],[Counter Number]]="","",Table2[[#This Row],[Annual Miles Traveled:]]*VLOOKUP(Table2[[#This Row],[Engine Model Year:]],EF!$A$2:$G$40,5,FALSE))</calculatedColumnFormula>
    </tableColumn>
    <tableColumn id="94" xr3:uid="{374B9D7F-4307-472C-A87E-E40BBDF2884A}" name="New Bus HC Emissions (tons/yr)" totalsRowFunction="sum" dataDxfId="68" totalsRowDxfId="67">
      <calculatedColumnFormula>IF(Table2[[#This Row],[Counter Number]]="","",Table2[[#This Row],[Annual Miles Traveled:]]*IF(Table2[[#This Row],[New Engine Fuel Type:]]="ULSD",VLOOKUP(Table2[[#This Row],[New Engine Model Year:]],EF!$A$2:$G$40,5,FALSE),VLOOKUP(Table2[[#This Row],[New Engine Fuel Type:]],EF!$B$2:$G$31,4,FALSE)))</calculatedColumnFormula>
    </tableColumn>
    <tableColumn id="81" xr3:uid="{41C223A1-AB12-4519-9D95-7EBC0FB1A24E}" name="Reduction Bus HC Emissions (tons/yr)" totalsRowFunction="sum" dataDxfId="66" totalsRowDxfId="65">
      <calculatedColumnFormula>IF(Table2[[#This Row],[Counter Number]]="","",Table2[[#This Row],[Old Bus HC Emissions (tons/yr)]]-Table2[[#This Row],[New Bus HC Emissions (tons/yr)]])</calculatedColumnFormula>
    </tableColumn>
    <tableColumn id="82" xr3:uid="{C99164A0-81D9-468C-A110-4012C07CEF60}" name="Percent HC Reduction" totalsRowFunction="custom" dataDxfId="64" totalsRowDxfId="63" dataCellStyle="Percent">
      <calculatedColumnFormula>IF(Table2[[#This Row],[Counter Number]]="","",Table2[[#This Row],[Reduction Bus HC Emissions (tons/yr)]]/Table2[[#This Row],[Old Bus HC Emissions (tons/yr)]])</calculatedColumnFormula>
      <totalsRowFormula>Table2[[#Totals],[Reduction Bus HC Emissions (tons/yr)]]/BM228</totalsRowFormula>
    </tableColumn>
    <tableColumn id="83" xr3:uid="{F098E27A-38C8-4492-9FC5-E34E7797C173}" name="Lifetime HC Reduction (tons)" totalsRowFunction="sum" dataDxfId="62" totalsRowDxfId="61">
      <calculatedColumnFormula>IF(Table2[[#This Row],[Counter Number]]="","",Table2[[#This Row],[Reduction Bus HC Emissions (tons/yr)]]*Table2[[#This Row],[Remaining Life:]])</calculatedColumnFormula>
    </tableColumn>
    <tableColumn id="84" xr3:uid="{0CD4F35A-BCBD-4567-BB9F-B36FFF1321FA}" name="Cost Effectivnes of HC Reduction ($/ton)" totalsRowFunction="custom" dataDxfId="60" totalsRowDxfId="59">
      <calculatedColumnFormula>IF(Table2[[#This Row],[Counter Number]]="","",IF(Table2[[#This Row],[Lifetime HC Reduction (tons)]]=0,"NA",Table2[[#This Row],[Upgrade Cost Per Unit]]/Table2[[#This Row],[Lifetime HC Reduction (tons)]]))</calculatedColumnFormula>
      <totalsRowFormula>Application!$H$35/Table2[[#Totals],[Lifetime HC Reduction (tons)]]</totalsRowFormula>
    </tableColumn>
    <tableColumn id="77" xr3:uid="{51749F24-FC41-4816-BC57-814F83204016}" name="Old Bus CO Emissions (tons/yr)" totalsRowFunction="sum" dataDxfId="58" totalsRowDxfId="57">
      <calculatedColumnFormula>IF(Table2[[#This Row],[Counter Number]]="","",Table2[[#This Row],[Annual Miles Traveled:]]*VLOOKUP(Table2[[#This Row],[Engine Model Year:]],EF!$A$2:$G$27,6,FALSE))</calculatedColumnFormula>
    </tableColumn>
    <tableColumn id="78" xr3:uid="{B8EF6F3E-6FE0-46D2-9C02-FF586B4E32FD}" name="New Bus CO Emissions (tons/yr)" totalsRowFunction="sum" dataDxfId="56" totalsRowDxfId="55">
      <calculatedColumnFormula>IF(Table2[[#This Row],[Counter Number]]="","",Table2[[#This Row],[Annual Miles Traveled:]]*IF(Table2[[#This Row],[New Engine Fuel Type:]]="ULSD",VLOOKUP(Table2[[#This Row],[New Engine Model Year:]],EF!$A$2:$G$27,6,FALSE),VLOOKUP(Table2[[#This Row],[New Engine Fuel Type:]],EF!$B$2:$G$31,5,FALSE)))</calculatedColumnFormula>
    </tableColumn>
    <tableColumn id="79" xr3:uid="{92DCFA32-57DE-4E1D-A20A-7F8532C223B7}" name="Reduction Bus CO Emissions (tons/yr)" totalsRowFunction="sum" dataDxfId="54" totalsRowDxfId="53">
      <calculatedColumnFormula>IF(Table2[[#This Row],[Counter Number]]="","",Table2[[#This Row],[Old Bus CO Emissions (tons/yr)]]-Table2[[#This Row],[New Bus CO Emissions (tons/yr)]])</calculatedColumnFormula>
    </tableColumn>
    <tableColumn id="80" xr3:uid="{4D244035-41C7-4738-8FEA-B80BEA432AC2}" name="Percent CO Reduction" totalsRowFunction="custom" dataDxfId="52" totalsRowDxfId="51" dataCellStyle="Percent">
      <calculatedColumnFormula>IF(Table2[[#This Row],[Counter Number]]="","",Table2[[#This Row],[Reduction Bus CO Emissions (tons/yr)]]/Table2[[#This Row],[Old Bus CO Emissions (tons/yr)]])</calculatedColumnFormula>
      <totalsRowFormula>Table2[[#Totals],[Reduction Bus CO Emissions (tons/yr)]]/BS228</totalsRowFormula>
    </tableColumn>
    <tableColumn id="10" xr3:uid="{22659D40-BCD6-4DF7-89F8-75AAF14A6007}" name="Lifetime CO Reduction (tons)" totalsRowFunction="sum" dataDxfId="50" totalsRowDxfId="49">
      <calculatedColumnFormula>IF(Table2[[#This Row],[Counter Number]]="","",Table2[[#This Row],[Reduction Bus CO Emissions (tons/yr)]]*Table2[[#This Row],[Remaining Life:]])</calculatedColumnFormula>
    </tableColumn>
    <tableColumn id="67" xr3:uid="{43804582-8308-4577-BA86-66B0434B142B}" name="Cost Effectivnes of CO Reduction ($/ton)" totalsRowFunction="custom" dataDxfId="48" totalsRowDxfId="47">
      <calculatedColumnFormula>IF(Table2[[#This Row],[Counter Number]]="","",IF(Table2[[#This Row],[Lifetime CO Reduction (tons)]]=0,"NA",Table2[[#This Row],[Upgrade Cost Per Unit]]/Table2[[#This Row],[Lifetime CO Reduction (tons)]]))</calculatedColumnFormula>
      <totalsRowFormula>Application!$H$35/Table2[[#Totals],[Lifetime CO Reduction (tons)]]</totalsRowFormula>
    </tableColumn>
    <tableColumn id="63" xr3:uid="{FD3C3BF9-7A0B-48AC-BC23-9D0F6CEE5D2B}" name="Old Bus CO2 Emissions (tons/yr)" totalsRowFunction="sum" dataDxfId="46" totalsRowDxfId="45" dataCellStyle="Comma">
      <calculatedColumnFormula>IF(Table2[[#This Row],[Counter Number]]="","",Table2[[#This Row],[Old ULSD Used (gal):]]*VLOOKUP(Table2[[#This Row],[Engine Model Year:]],EF!$A$2:$G$27,7,FALSE))</calculatedColumnFormula>
    </tableColumn>
    <tableColumn id="73" xr3:uid="{E8950BBD-7ED0-471E-826E-5C5ACF7D0FBF}" name="New Bus CO2 Emissions (tons/yr)" totalsRowFunction="sum" dataDxfId="44" totalsRowDxfId="43" dataCellStyle="Comma">
      <calculatedColumnFormula>IF(Table2[[#This Row],[Counter Number]]="","",IF(Table2[[#This Row],[New ULSD Used (gal):]]="",Table2[[#This Row],[Old Bus CO2 Emissions (tons/yr)]],Table2[[#This Row],[New ULSD Used (gal):]]*IF(Table2[[#This Row],[New Engine Fuel Type:]]="ULSD",VLOOKUP(Table2[[#This Row],[New Engine Model Year:]],EF!$A$2:$G$40,7,FALSE),VLOOKUP(Table2[[#This Row],[New Engine Fuel Type:]],EF!$B$2:$G$40,6,FALSE))))</calculatedColumnFormula>
    </tableColumn>
    <tableColumn id="12" xr3:uid="{4BEC25E6-BEA5-4EC9-8843-382BB4806E4B}" name="Reduction Bus CO2 Emissions (tons/yr)" totalsRowFunction="sum" dataDxfId="42" totalsRowDxfId="41">
      <calculatedColumnFormula>IF(Table2[[#This Row],[Counter Number]]="","",Table2[[#This Row],[Old Bus CO2 Emissions (tons/yr)]]-Table2[[#This Row],[New Bus CO2 Emissions (tons/yr)]])</calculatedColumnFormula>
    </tableColumn>
    <tableColumn id="70" xr3:uid="{E155DD28-C64F-47A6-B3B9-8272A098837E}" name="Percent CO2 Reduction" totalsRowFunction="custom" dataDxfId="40" totalsRowDxfId="39" dataCellStyle="Percent">
      <calculatedColumnFormula>IF(Table2[[#This Row],[Counter Number]]="","",Table2[[#This Row],[Reduction Bus CO2 Emissions (tons/yr)]]/Table2[[#This Row],[Old Bus CO2 Emissions (tons/yr)]])</calculatedColumnFormula>
      <totalsRowFormula>Table2[[#Totals],[Reduction Bus CO2 Emissions (tons/yr)]]/BY228</totalsRowFormula>
    </tableColumn>
    <tableColumn id="13" xr3:uid="{56D1C32D-7A74-4281-9E02-29B5CEF35812}" name="Lifetime CO2 Reduction (tons)" totalsRowFunction="sum" dataDxfId="38" totalsRowDxfId="37">
      <calculatedColumnFormula>IF(Table2[[#This Row],[Counter Number]]="","",Table2[[#This Row],[Reduction Bus CO2 Emissions (tons/yr)]]*Table2[[#This Row],[Remaining Life:]])</calculatedColumnFormula>
    </tableColumn>
    <tableColumn id="71" xr3:uid="{D1D7F514-903F-4E0B-B370-9F465CF6A6FD}" name="Cost Effectivnes of CO2 Reduction ($/ton)" totalsRowFunction="custom" dataDxfId="36" totalsRowDxfId="35">
      <calculatedColumnFormula>IF(Table2[[#This Row],[Counter Number]]="","",IF(Table2[[#This Row],[Lifetime CO2 Reduction (tons)]]=0,"NA",Table2[[#This Row],[Upgrade Cost Per Unit]]/Table2[[#This Row],[Lifetime CO2 Reduction (tons)]]))</calculatedColumnFormula>
      <totalsRowFormula>Application!$H$35/Table2[[#Totals],[Lifetime CO2 Reduction (tons)]]</totalsRowFormula>
    </tableColumn>
    <tableColumn id="19" xr3:uid="{20324F2C-E599-494E-9AAB-4174CD8F4166}" name="Diesel Fuel Reduction (gal/yr)" totalsRowFunction="sum" dataDxfId="34" totalsRowDxfId="33" dataCellStyle="Comma">
      <calculatedColumnFormula>IF(Table2[[#This Row],[Counter Number]]="","",IF(Table2[[#This Row],[New ULSD Used (gal):]]="",Table2[[#This Row],[Old ULSD Used (gal):]],Table2[[#This Row],[Old ULSD Used (gal):]]-Table2[[#This Row],[New ULSD Used (gal):]]))</calculatedColumnFormula>
    </tableColumn>
    <tableColumn id="95" xr3:uid="{39E7A91A-C8B0-4775-813C-3E4131F03DD9}" name="Percent Diesel Fuel Reduction" dataDxfId="32" totalsRowDxfId="31" dataCellStyle="Percent">
      <calculatedColumnFormula>IF(Table2[[#This Row],[Counter Number]]="","",Table2[[#This Row],[Diesel Fuel Reduction (gal/yr)]]/Table2[[#This Row],[Old ULSD Used (gal):]])</calculatedColumnFormula>
    </tableColumn>
    <tableColumn id="34" xr3:uid="{ED4B90D3-17D4-4A6E-89C8-1CC540D322AA}" name="Lifetime Diesel Fuel Reduction (gal)" totalsRowFunction="sum" dataDxfId="30" totalsRowDxfId="29" dataCellStyle="Comma">
      <calculatedColumnFormula>IF(Table2[[#This Row],[Counter Number]]="","",Table2[[#This Row],[Diesel Fuel Reduction (gal/yr)]]*Table2[[#This Row],[Remaining Life:]])</calculatedColumnFormula>
    </tableColumn>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1877B7F-FF98-40FA-A27E-84511B6116C3}" name="EFTable" displayName="EFTable" ref="A1:H32" totalsRowShown="0" headerRowDxfId="28">
  <autoFilter ref="A1:H32" xr:uid="{9E6A7EBB-DC34-48FA-AF66-83036AEA9542}"/>
  <tableColumns count="8">
    <tableColumn id="1" xr3:uid="{723E9650-FDEF-45C7-A8A2-9BAA2A44FA54}" name="YM Engine" dataDxfId="27"/>
    <tableColumn id="2" xr3:uid="{BA5DCE10-4D55-4F5B-9AF2-F0516886A7DF}" name="Fuel"/>
    <tableColumn id="3" xr3:uid="{4E12CA5D-2BC9-4A3E-909F-F8E632D0007F}" name="NOx (tons/mi)" dataDxfId="26"/>
    <tableColumn id="4" xr3:uid="{4586636E-7CE9-4F46-970E-211A8A1CCE3A}" name="PM2.5 (tons/mi)" dataDxfId="25"/>
    <tableColumn id="5" xr3:uid="{726711A8-3BDA-4859-9E60-BBDBD7167885}" name="HC (tons/mi)" dataDxfId="24"/>
    <tableColumn id="6" xr3:uid="{63AF940D-642C-4987-AF09-589DF28D4B98}" name="CO (tons/mi)" dataDxfId="23"/>
    <tableColumn id="7" xr3:uid="{435563F3-B86A-4E03-A30D-652D99F81837}" name="CO2 (tons/gal)" dataDxfId="22"/>
    <tableColumn id="8" xr3:uid="{056F46EB-C166-4643-8F86-2C40B9C2190F}" name="CO2 Units if Different"/>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B1:P61"/>
  <sheetViews>
    <sheetView showGridLines="0" tabSelected="1" zoomScaleNormal="100" workbookViewId="0">
      <selection activeCell="C8" sqref="C8:J13"/>
    </sheetView>
  </sheetViews>
  <sheetFormatPr defaultColWidth="8.77734375" defaultRowHeight="16.95" customHeight="1"/>
  <cols>
    <col min="1" max="1" width="0.33203125" style="2" customWidth="1"/>
    <col min="2" max="2" width="2.21875" style="2" customWidth="1"/>
    <col min="3" max="3" width="30.33203125" style="2" customWidth="1"/>
    <col min="4" max="4" width="13.88671875" style="2" customWidth="1"/>
    <col min="5" max="5" width="18.6640625" style="2" customWidth="1"/>
    <col min="6" max="6" width="0.21875" style="2" customWidth="1"/>
    <col min="7" max="7" width="1.33203125" style="2" hidden="1" customWidth="1"/>
    <col min="8" max="8" width="11.77734375" style="2" customWidth="1"/>
    <col min="9" max="9" width="0.109375" style="2" customWidth="1"/>
    <col min="10" max="10" width="14.44140625" style="2" customWidth="1"/>
    <col min="11" max="11" width="14.33203125" style="97" hidden="1" customWidth="1"/>
    <col min="12" max="12" width="12.44140625" style="2" hidden="1" customWidth="1"/>
    <col min="13" max="13" width="20.88671875" style="264" hidden="1" customWidth="1"/>
    <col min="14" max="14" width="17.5546875" style="2" customWidth="1"/>
    <col min="15" max="16384" width="8.77734375" style="2"/>
  </cols>
  <sheetData>
    <row r="1" spans="2:13" ht="16.95" customHeight="1">
      <c r="C1" s="275"/>
      <c r="D1" s="275"/>
      <c r="E1" s="275"/>
      <c r="F1" s="275"/>
      <c r="G1" s="275"/>
      <c r="H1" s="275"/>
      <c r="I1" s="275"/>
      <c r="J1" s="275"/>
      <c r="M1" s="257"/>
    </row>
    <row r="2" spans="2:13" ht="16.95" customHeight="1">
      <c r="C2" s="275"/>
      <c r="D2" s="275"/>
      <c r="E2" s="275"/>
      <c r="F2" s="275"/>
      <c r="G2" s="275"/>
      <c r="H2" s="275"/>
      <c r="I2" s="275"/>
      <c r="J2" s="275"/>
      <c r="M2" s="258"/>
    </row>
    <row r="3" spans="2:13" ht="16.95" customHeight="1">
      <c r="C3" s="275"/>
      <c r="D3" s="275"/>
      <c r="E3" s="275"/>
      <c r="F3" s="275"/>
      <c r="G3" s="275"/>
      <c r="H3" s="275"/>
      <c r="I3" s="275"/>
      <c r="J3" s="275"/>
      <c r="M3" s="257"/>
    </row>
    <row r="4" spans="2:13" ht="16.95" customHeight="1">
      <c r="C4" s="275"/>
      <c r="D4" s="275"/>
      <c r="E4" s="275"/>
      <c r="F4" s="275"/>
      <c r="G4" s="275"/>
      <c r="H4" s="275"/>
      <c r="I4" s="275"/>
      <c r="J4" s="275"/>
      <c r="M4" s="257"/>
    </row>
    <row r="5" spans="2:13" ht="16.95" customHeight="1">
      <c r="C5" s="275"/>
      <c r="D5" s="275"/>
      <c r="E5" s="275"/>
      <c r="F5" s="275"/>
      <c r="G5" s="275"/>
      <c r="H5" s="275"/>
      <c r="I5" s="275"/>
      <c r="J5" s="275"/>
      <c r="M5" s="257"/>
    </row>
    <row r="6" spans="2:13" ht="16.95" customHeight="1">
      <c r="C6" s="275"/>
      <c r="D6" s="275"/>
      <c r="E6" s="275"/>
      <c r="F6" s="275"/>
      <c r="G6" s="275"/>
      <c r="H6" s="275"/>
      <c r="I6" s="275"/>
      <c r="J6" s="275"/>
      <c r="M6" s="257"/>
    </row>
    <row r="7" spans="2:13" ht="16.95" customHeight="1">
      <c r="C7" s="275"/>
      <c r="D7" s="275"/>
      <c r="E7" s="275"/>
      <c r="F7" s="275"/>
      <c r="G7" s="275"/>
      <c r="H7" s="275"/>
      <c r="I7" s="275"/>
      <c r="J7" s="275"/>
      <c r="M7" s="257"/>
    </row>
    <row r="8" spans="2:13" s="252" customFormat="1" ht="25.5" customHeight="1">
      <c r="B8" s="250"/>
      <c r="C8" s="295" t="s">
        <v>363</v>
      </c>
      <c r="D8" s="295"/>
      <c r="E8" s="295"/>
      <c r="F8" s="295"/>
      <c r="G8" s="295"/>
      <c r="H8" s="295"/>
      <c r="I8" s="295"/>
      <c r="J8" s="295"/>
      <c r="K8" s="251"/>
      <c r="M8" s="259"/>
    </row>
    <row r="9" spans="2:13" s="252" customFormat="1" ht="19.05" customHeight="1">
      <c r="B9" s="250"/>
      <c r="C9" s="295"/>
      <c r="D9" s="295"/>
      <c r="E9" s="295"/>
      <c r="F9" s="295"/>
      <c r="G9" s="295"/>
      <c r="H9" s="295"/>
      <c r="I9" s="295"/>
      <c r="J9" s="295"/>
      <c r="K9" s="251"/>
      <c r="M9" s="259"/>
    </row>
    <row r="10" spans="2:13" s="252" customFormat="1" ht="19.05" customHeight="1">
      <c r="B10" s="250"/>
      <c r="C10" s="295"/>
      <c r="D10" s="295"/>
      <c r="E10" s="295"/>
      <c r="F10" s="295"/>
      <c r="G10" s="295"/>
      <c r="H10" s="295"/>
      <c r="I10" s="295"/>
      <c r="J10" s="295"/>
      <c r="K10" s="251"/>
      <c r="M10" s="259"/>
    </row>
    <row r="11" spans="2:13" s="252" customFormat="1" ht="19.05" customHeight="1">
      <c r="B11" s="250"/>
      <c r="C11" s="295"/>
      <c r="D11" s="295"/>
      <c r="E11" s="295"/>
      <c r="F11" s="295"/>
      <c r="G11" s="295"/>
      <c r="H11" s="295"/>
      <c r="I11" s="295"/>
      <c r="J11" s="295"/>
      <c r="K11" s="251"/>
      <c r="M11" s="259"/>
    </row>
    <row r="12" spans="2:13" s="252" customFormat="1" ht="19.05" customHeight="1">
      <c r="B12" s="250"/>
      <c r="C12" s="295"/>
      <c r="D12" s="295"/>
      <c r="E12" s="295"/>
      <c r="F12" s="295"/>
      <c r="G12" s="295"/>
      <c r="H12" s="295"/>
      <c r="I12" s="295"/>
      <c r="J12" s="295"/>
      <c r="K12" s="251"/>
      <c r="M12" s="259"/>
    </row>
    <row r="13" spans="2:13" s="3" customFormat="1" ht="35.549999999999997" customHeight="1" thickBot="1">
      <c r="B13" s="253"/>
      <c r="C13" s="295"/>
      <c r="D13" s="295"/>
      <c r="E13" s="295"/>
      <c r="F13" s="295"/>
      <c r="G13" s="295"/>
      <c r="H13" s="295"/>
      <c r="I13" s="295"/>
      <c r="J13" s="295"/>
      <c r="K13" s="254"/>
      <c r="M13" s="260"/>
    </row>
    <row r="14" spans="2:13" s="5" customFormat="1" ht="16.95" customHeight="1" thickBot="1">
      <c r="B14" s="218"/>
      <c r="C14" s="217" t="s">
        <v>52</v>
      </c>
      <c r="D14" s="304">
        <v>2024</v>
      </c>
      <c r="E14" s="305"/>
      <c r="F14" s="7"/>
      <c r="G14" s="7"/>
      <c r="H14" s="276"/>
      <c r="I14" s="276"/>
      <c r="J14" s="276"/>
      <c r="K14" s="98"/>
      <c r="M14" s="261"/>
    </row>
    <row r="15" spans="2:13" s="5" customFormat="1" ht="16.95" customHeight="1" thickBot="1">
      <c r="B15" s="218"/>
      <c r="C15" s="217" t="s">
        <v>0</v>
      </c>
      <c r="D15" s="292"/>
      <c r="E15" s="293"/>
      <c r="F15" s="293"/>
      <c r="G15" s="293"/>
      <c r="H15" s="293"/>
      <c r="I15" s="293"/>
      <c r="J15" s="294"/>
      <c r="K15" s="98"/>
      <c r="M15" s="261"/>
    </row>
    <row r="16" spans="2:13" s="5" customFormat="1" ht="16.95" customHeight="1" thickBot="1">
      <c r="B16" s="218"/>
      <c r="C16" s="217" t="s">
        <v>53</v>
      </c>
      <c r="D16" s="207"/>
      <c r="E16" s="280" t="s">
        <v>341</v>
      </c>
      <c r="F16" s="280"/>
      <c r="G16" s="280"/>
      <c r="H16" s="280"/>
      <c r="I16" s="281"/>
      <c r="J16" s="241" t="str">
        <f>IFERROR(VLOOKUP(Application!D16,DropDown!G1:I160,3),"")</f>
        <v/>
      </c>
      <c r="K16" s="98"/>
      <c r="M16" s="261"/>
    </row>
    <row r="17" spans="2:16" s="5" customFormat="1" ht="16.95" customHeight="1" thickBot="1">
      <c r="B17" s="218"/>
      <c r="C17" s="217" t="s">
        <v>1</v>
      </c>
      <c r="D17" s="248"/>
      <c r="E17" s="219" t="s">
        <v>336</v>
      </c>
      <c r="F17" s="105"/>
      <c r="G17" s="146"/>
      <c r="H17" s="309"/>
      <c r="I17" s="310"/>
      <c r="J17" s="311"/>
      <c r="K17" s="98"/>
      <c r="M17" s="261"/>
    </row>
    <row r="18" spans="2:16" s="5" customFormat="1" ht="16.95" customHeight="1" thickBot="1">
      <c r="B18" s="218"/>
      <c r="C18" s="217" t="s">
        <v>292</v>
      </c>
      <c r="D18" s="222"/>
      <c r="E18" s="287"/>
      <c r="F18" s="288"/>
      <c r="G18" s="288"/>
      <c r="H18" s="289"/>
      <c r="I18" s="289"/>
      <c r="J18" s="290"/>
      <c r="K18" s="98"/>
      <c r="M18" s="261"/>
    </row>
    <row r="19" spans="2:16" s="5" customFormat="1" ht="16.95" customHeight="1" thickBot="1">
      <c r="B19" s="218"/>
      <c r="C19" s="217" t="s">
        <v>2</v>
      </c>
      <c r="D19" s="292"/>
      <c r="E19" s="293"/>
      <c r="F19" s="293"/>
      <c r="G19" s="293"/>
      <c r="H19" s="293"/>
      <c r="I19" s="293"/>
      <c r="J19" s="294"/>
      <c r="K19" s="98"/>
      <c r="M19" s="261"/>
    </row>
    <row r="20" spans="2:16" s="5" customFormat="1" ht="16.95" customHeight="1" thickBot="1">
      <c r="B20" s="218"/>
      <c r="C20" s="217" t="s">
        <v>3</v>
      </c>
      <c r="D20" s="292"/>
      <c r="E20" s="293"/>
      <c r="F20" s="293"/>
      <c r="G20" s="293"/>
      <c r="H20" s="293"/>
      <c r="I20" s="293"/>
      <c r="J20" s="294"/>
      <c r="K20" s="98"/>
      <c r="M20" s="261"/>
    </row>
    <row r="21" spans="2:16" s="5" customFormat="1" ht="16.95" customHeight="1" thickBot="1">
      <c r="B21" s="218"/>
      <c r="C21" s="217" t="s">
        <v>54</v>
      </c>
      <c r="D21" s="287"/>
      <c r="E21" s="298"/>
      <c r="F21" s="1"/>
      <c r="G21" s="1"/>
      <c r="H21" s="219" t="s">
        <v>55</v>
      </c>
      <c r="I21" s="1"/>
      <c r="J21" s="248"/>
      <c r="K21" s="98"/>
      <c r="M21" s="261"/>
    </row>
    <row r="22" spans="2:16" s="5" customFormat="1" ht="16.95" customHeight="1" thickBot="1">
      <c r="B22" s="218"/>
      <c r="C22" s="217" t="s">
        <v>4</v>
      </c>
      <c r="D22" s="292"/>
      <c r="E22" s="293"/>
      <c r="F22" s="293"/>
      <c r="G22" s="293"/>
      <c r="H22" s="293"/>
      <c r="I22" s="293"/>
      <c r="J22" s="294"/>
      <c r="K22" s="98"/>
      <c r="M22" s="261"/>
    </row>
    <row r="23" spans="2:16" s="5" customFormat="1" ht="16.95" customHeight="1" thickBot="1">
      <c r="B23" s="218"/>
      <c r="C23" s="217" t="s">
        <v>5</v>
      </c>
      <c r="D23" s="277"/>
      <c r="E23" s="278"/>
      <c r="F23" s="7"/>
      <c r="G23" s="7"/>
      <c r="H23" s="218"/>
      <c r="I23" s="217"/>
      <c r="J23" s="218"/>
      <c r="K23" s="98"/>
      <c r="M23" s="262"/>
    </row>
    <row r="24" spans="2:16" s="5" customFormat="1" ht="16.95" customHeight="1" thickBot="1">
      <c r="B24" s="218"/>
      <c r="C24" s="217" t="s">
        <v>6</v>
      </c>
      <c r="D24" s="224"/>
      <c r="E24" s="218"/>
      <c r="F24" s="218"/>
      <c r="G24" s="218"/>
      <c r="H24" s="218"/>
      <c r="I24" s="218"/>
      <c r="J24" s="218"/>
      <c r="K24" s="98"/>
      <c r="M24" s="262"/>
      <c r="N24"/>
      <c r="O24"/>
    </row>
    <row r="25" spans="2:16" s="4" customFormat="1" ht="16.95" customHeight="1" thickBot="1">
      <c r="B25" s="221"/>
      <c r="C25" s="279" t="s">
        <v>305</v>
      </c>
      <c r="D25" s="279"/>
      <c r="E25" s="279"/>
      <c r="F25" s="279"/>
      <c r="G25" s="279"/>
      <c r="H25" s="279"/>
      <c r="J25" s="208"/>
      <c r="M25" s="262"/>
      <c r="N25"/>
      <c r="O25"/>
    </row>
    <row r="26" spans="2:16" s="4" customFormat="1" ht="16.95" customHeight="1" thickBot="1">
      <c r="B26" s="221"/>
      <c r="C26" s="221" t="str">
        <f>IF(J25="Set Policy","Expected useful life of school buses based on set policy:","")</f>
        <v/>
      </c>
      <c r="D26" s="221"/>
      <c r="E26" s="221"/>
      <c r="F26" s="221"/>
      <c r="G26" s="221"/>
      <c r="H26" s="223"/>
      <c r="I26" s="107"/>
      <c r="J26" s="108" t="s">
        <v>296</v>
      </c>
      <c r="K26" s="99">
        <f>IF(J25="Case-by-Case",1,0)</f>
        <v>0</v>
      </c>
      <c r="M26" s="262"/>
      <c r="N26"/>
      <c r="O26"/>
    </row>
    <row r="27" spans="2:16" s="4" customFormat="1" ht="16.95" customHeight="1">
      <c r="B27" s="221"/>
      <c r="C27" s="286" t="str">
        <f>IF('Bus Fleet'!Q228="Not Eligible","One or more buses are not eligible because there is less than 3 years of service life remaining.","")</f>
        <v/>
      </c>
      <c r="D27" s="286"/>
      <c r="E27" s="286"/>
      <c r="F27" s="286"/>
      <c r="G27" s="286"/>
      <c r="H27" s="286"/>
      <c r="I27" s="286"/>
      <c r="J27" s="286"/>
      <c r="K27" s="99"/>
      <c r="M27" s="262"/>
      <c r="N27"/>
      <c r="O27"/>
    </row>
    <row r="28" spans="2:16" s="5" customFormat="1" ht="16.95" customHeight="1">
      <c r="B28" s="218"/>
      <c r="C28" s="295" t="s">
        <v>359</v>
      </c>
      <c r="D28" s="295"/>
      <c r="E28" s="295"/>
      <c r="F28" s="295"/>
      <c r="G28" s="295"/>
      <c r="H28" s="295"/>
      <c r="I28" s="295"/>
      <c r="J28" s="295"/>
      <c r="K28" s="240" t="s">
        <v>65</v>
      </c>
      <c r="M28" s="262"/>
      <c r="N28"/>
      <c r="O28"/>
      <c r="P28"/>
    </row>
    <row r="29" spans="2:16" s="5" customFormat="1" ht="16.95" customHeight="1">
      <c r="B29" s="218"/>
      <c r="C29" s="295"/>
      <c r="D29" s="295"/>
      <c r="E29" s="295"/>
      <c r="F29" s="295"/>
      <c r="G29" s="295"/>
      <c r="H29" s="295"/>
      <c r="I29" s="295"/>
      <c r="J29" s="295"/>
      <c r="K29" s="98" t="s">
        <v>66</v>
      </c>
      <c r="M29" s="261"/>
      <c r="N29"/>
      <c r="O29"/>
      <c r="P29"/>
    </row>
    <row r="30" spans="2:16" s="4" customFormat="1" ht="16.95" customHeight="1">
      <c r="B30" s="221"/>
      <c r="C30" s="295"/>
      <c r="D30" s="295"/>
      <c r="E30" s="295"/>
      <c r="F30" s="295"/>
      <c r="G30" s="295"/>
      <c r="H30" s="295"/>
      <c r="I30" s="295"/>
      <c r="J30" s="295"/>
      <c r="K30" s="98" t="s">
        <v>62</v>
      </c>
      <c r="M30" s="263"/>
      <c r="N30"/>
      <c r="O30"/>
    </row>
    <row r="31" spans="2:16" s="4" customFormat="1" ht="14.55" customHeight="1">
      <c r="B31" s="221"/>
      <c r="C31" s="295"/>
      <c r="D31" s="295"/>
      <c r="E31" s="295"/>
      <c r="F31" s="295"/>
      <c r="G31" s="295"/>
      <c r="H31" s="295"/>
      <c r="I31" s="295"/>
      <c r="J31" s="295"/>
      <c r="K31" s="99" t="s">
        <v>63</v>
      </c>
      <c r="M31" s="262"/>
      <c r="N31"/>
      <c r="O31"/>
    </row>
    <row r="32" spans="2:16" s="4" customFormat="1" ht="1.5" customHeight="1" thickBot="1">
      <c r="B32" s="221"/>
      <c r="C32" s="295"/>
      <c r="D32" s="295"/>
      <c r="E32" s="295"/>
      <c r="F32" s="295"/>
      <c r="G32" s="295"/>
      <c r="H32" s="295"/>
      <c r="I32" s="295"/>
      <c r="J32" s="295"/>
      <c r="K32" s="99"/>
      <c r="M32" s="262"/>
      <c r="N32"/>
      <c r="O32"/>
    </row>
    <row r="33" spans="2:15" ht="16.95" customHeight="1" thickBot="1">
      <c r="B33" s="218"/>
      <c r="C33" s="227" t="s">
        <v>337</v>
      </c>
      <c r="D33" s="112" t="str">
        <f>IFERROR(VLOOKUP(K28,Table1[New Engine Fuel Type or Bus Eliminated:],1,FALSE),"")</f>
        <v/>
      </c>
      <c r="E33" s="111" t="str">
        <f>IFERROR(VLOOKUP(K29,Table1[New Engine Fuel Type or Bus Eliminated:],1,FALSE),"")</f>
        <v/>
      </c>
      <c r="F33" s="111" t="str">
        <f>IFERROR(VLOOKUP(I29,Table1[New Engine Fuel Type or Bus Eliminated:],1,FALSE),"")</f>
        <v/>
      </c>
      <c r="G33" s="111"/>
      <c r="H33" s="111" t="str">
        <f>IFERROR(VLOOKUP(K30,Table1[New Engine Fuel Type or Bus Eliminated:],1,FALSE),"")</f>
        <v/>
      </c>
      <c r="I33" s="111" t="str">
        <f>IFERROR(VLOOKUP(L29,Table1[New Engine Fuel Type or Bus Eliminated:],1,FALSE),"")</f>
        <v/>
      </c>
      <c r="J33" s="113" t="str">
        <f>IFERROR(VLOOKUP(K31,Table1[New Engine Fuel Type or Bus Eliminated:],1,FALSE),"")</f>
        <v/>
      </c>
    </row>
    <row r="34" spans="2:15" ht="16.95" customHeight="1" thickBot="1">
      <c r="B34" s="225"/>
      <c r="C34" s="225"/>
      <c r="D34" s="225"/>
      <c r="E34" s="219" t="s">
        <v>8</v>
      </c>
      <c r="F34" s="218"/>
      <c r="G34" s="218"/>
      <c r="H34" s="283" t="str">
        <f>IF(D24=0,"",IF(H35=0,"",H35/D24))</f>
        <v/>
      </c>
      <c r="I34" s="284"/>
      <c r="J34" s="285"/>
      <c r="L34" s="231"/>
    </row>
    <row r="35" spans="2:15" s="5" customFormat="1" ht="16.95" customHeight="1" thickBot="1">
      <c r="B35" s="218"/>
      <c r="C35" s="282" t="s">
        <v>294</v>
      </c>
      <c r="D35" s="282"/>
      <c r="E35" s="282"/>
      <c r="F35" s="1"/>
      <c r="H35" s="283">
        <f>ForEPA!AN228</f>
        <v>0</v>
      </c>
      <c r="I35" s="284"/>
      <c r="J35" s="285"/>
      <c r="K35" s="98"/>
      <c r="L35" s="89"/>
      <c r="M35" s="262"/>
      <c r="N35"/>
      <c r="O35"/>
    </row>
    <row r="36" spans="2:15" s="5" customFormat="1" ht="16.95" customHeight="1" thickBot="1">
      <c r="B36" s="218"/>
      <c r="C36" s="282" t="s">
        <v>362</v>
      </c>
      <c r="D36" s="291"/>
      <c r="E36" s="255" t="str">
        <f>IF(H37="","",ROUND(H36/H35,3))</f>
        <v/>
      </c>
      <c r="H36" s="283">
        <f>H35-H37</f>
        <v>0</v>
      </c>
      <c r="I36" s="284"/>
      <c r="J36" s="285"/>
      <c r="K36" s="98"/>
      <c r="L36" s="268" t="s">
        <v>352</v>
      </c>
      <c r="M36" s="270" t="s">
        <v>353</v>
      </c>
      <c r="N36" s="267"/>
      <c r="O36"/>
    </row>
    <row r="37" spans="2:15" s="5" customFormat="1" ht="16.95" customHeight="1" thickBot="1">
      <c r="B37" s="218"/>
      <c r="C37" s="282" t="s">
        <v>361</v>
      </c>
      <c r="D37" s="282"/>
      <c r="E37" s="282"/>
      <c r="F37" s="1"/>
      <c r="H37" s="306"/>
      <c r="I37" s="307"/>
      <c r="J37" s="308"/>
      <c r="K37" s="100"/>
      <c r="L37" s="269">
        <v>636968</v>
      </c>
      <c r="M37" s="271">
        <v>0.85499999999999998</v>
      </c>
      <c r="N37" s="273" t="str">
        <f>IF(H37="","&lt;-- Please Enter DERA Amount Your Are Requesting","")</f>
        <v>&lt;-- Please Enter DERA Amount Your Are Requesting</v>
      </c>
      <c r="O37"/>
    </row>
    <row r="38" spans="2:15" s="5" customFormat="1" ht="16.95" customHeight="1" thickBot="1">
      <c r="B38" s="218"/>
      <c r="C38" s="282" t="s">
        <v>295</v>
      </c>
      <c r="D38" s="282"/>
      <c r="E38" s="282"/>
      <c r="F38" s="1"/>
      <c r="H38" s="94" t="str">
        <f>IFERROR(Table2[[#Totals],[Lifetime NOx Reduction (tons)]],"")</f>
        <v/>
      </c>
      <c r="I38" s="104"/>
      <c r="J38" s="108" t="s">
        <v>129</v>
      </c>
      <c r="K38" s="101" t="b">
        <f>ISERROR(H38)</f>
        <v>0</v>
      </c>
      <c r="L38" s="232"/>
      <c r="M38" s="262"/>
      <c r="N38"/>
      <c r="O38"/>
    </row>
    <row r="39" spans="2:15" s="5" customFormat="1" ht="16.95" customHeight="1" thickBot="1">
      <c r="B39" s="218"/>
      <c r="C39" s="282" t="s">
        <v>360</v>
      </c>
      <c r="D39" s="282"/>
      <c r="E39" s="282"/>
      <c r="F39" s="1"/>
      <c r="H39" s="233" t="str">
        <f>IFERROR(IF(H37&gt;535287,"See Max",IF(OR(H38=0,H38=""),"",H37/H38)),"")</f>
        <v/>
      </c>
      <c r="I39" s="234"/>
      <c r="J39" s="235" t="s">
        <v>130</v>
      </c>
      <c r="K39" s="98"/>
      <c r="M39" s="262"/>
      <c r="N39"/>
      <c r="O39"/>
    </row>
    <row r="40" spans="2:15" s="6" customFormat="1" ht="21" customHeight="1">
      <c r="B40" s="220"/>
      <c r="C40" s="297" t="s">
        <v>7</v>
      </c>
      <c r="D40" s="297"/>
      <c r="E40" s="297"/>
      <c r="F40" s="297"/>
      <c r="G40" s="297"/>
      <c r="H40" s="297"/>
      <c r="I40" s="297"/>
      <c r="J40" s="297"/>
      <c r="K40" s="239"/>
      <c r="M40" s="265"/>
      <c r="N40"/>
      <c r="O40"/>
    </row>
    <row r="41" spans="2:15" s="83" customFormat="1" ht="15.45" customHeight="1" thickBot="1">
      <c r="B41" s="220"/>
      <c r="C41" s="218"/>
      <c r="D41" s="218"/>
      <c r="E41" s="218"/>
      <c r="F41" s="272" t="str">
        <f>IF(H37&gt;L37,"Funding Request Exceeds Maximum Allowed",IF(E36&lt;M37,"ERROR: The Minimum Match Requirement Has Not Been Met: ",IF(K38=TRUE,"Complete or Update Bus Fleet Tab","")))</f>
        <v/>
      </c>
      <c r="G41" s="301" t="str">
        <f>IF(OR($H$35="",$H$36=""),"",IF(H37&gt;L37,"",IF(E36&gt;=M37,"",H35-G42)))</f>
        <v/>
      </c>
      <c r="H41" s="301"/>
      <c r="I41" s="218"/>
      <c r="J41" s="218"/>
      <c r="K41" s="102"/>
      <c r="L41" s="256">
        <f>ROUND(H35*(1-0.85151543),0)</f>
        <v>0</v>
      </c>
      <c r="M41" s="266" t="e">
        <f>ROUND(($H$35-$L$41)/$H$35,3)</f>
        <v>#DIV/0!</v>
      </c>
      <c r="N41"/>
      <c r="O41"/>
    </row>
    <row r="42" spans="2:15" s="83" customFormat="1" ht="19.05" customHeight="1">
      <c r="B42" s="249"/>
      <c r="C42" s="236"/>
      <c r="D42" s="237"/>
      <c r="E42" s="237"/>
      <c r="F42" s="106" t="str">
        <f>IF(F41="Complete or Update Bus Fleet Tab","",IF(F41="","","                 Your DERA Funding Request May Not Exceed: "))</f>
        <v/>
      </c>
      <c r="G42" s="296" t="str">
        <f>IF(H37&gt;L37,L37,IF(E36&lt;M37,IF(M41=M37,L41,L42),""))</f>
        <v/>
      </c>
      <c r="H42" s="296"/>
      <c r="I42" s="215"/>
      <c r="J42" s="299"/>
      <c r="K42" s="102"/>
      <c r="L42" s="256">
        <f>IF(E36=85.5,L41,ROUND(L41-1,0))</f>
        <v>-1</v>
      </c>
      <c r="M42" s="266" t="e">
        <f>ROUND(($H$35-$L$42)/$H$35,3)</f>
        <v>#DIV/0!</v>
      </c>
      <c r="N42"/>
      <c r="O42"/>
    </row>
    <row r="43" spans="2:15" s="5" customFormat="1" ht="37.049999999999997" customHeight="1" thickBot="1">
      <c r="B43" s="302"/>
      <c r="C43" s="303"/>
      <c r="D43" s="303"/>
      <c r="E43" s="303"/>
      <c r="F43" s="238"/>
      <c r="G43" s="238"/>
      <c r="H43" s="238"/>
      <c r="I43" s="216"/>
      <c r="J43" s="300"/>
      <c r="K43" s="103"/>
      <c r="L43" s="256"/>
      <c r="M43" s="266"/>
    </row>
    <row r="44" spans="2:15" s="5" customFormat="1" ht="16.95" customHeight="1">
      <c r="F44" s="1"/>
      <c r="G44" s="1"/>
      <c r="H44" s="274" t="s">
        <v>340</v>
      </c>
      <c r="I44" s="274"/>
      <c r="J44" s="274"/>
      <c r="K44" s="98"/>
      <c r="L44" s="256"/>
      <c r="M44" s="266"/>
    </row>
    <row r="45" spans="2:15" s="5" customFormat="1" ht="16.95" customHeight="1">
      <c r="D45" s="1"/>
      <c r="E45" s="84"/>
      <c r="F45" s="1"/>
      <c r="G45" s="84"/>
      <c r="H45" s="84"/>
      <c r="I45" s="84"/>
      <c r="J45" s="1"/>
      <c r="K45" s="98"/>
      <c r="L45" s="256"/>
      <c r="M45" s="266"/>
    </row>
    <row r="46" spans="2:15" s="5" customFormat="1" ht="16.95" customHeight="1">
      <c r="D46" s="1"/>
      <c r="E46" s="228"/>
      <c r="F46" s="1"/>
      <c r="G46" s="1"/>
      <c r="H46" s="1"/>
      <c r="I46" s="1"/>
      <c r="J46" s="1"/>
      <c r="K46" s="98"/>
      <c r="M46" s="261"/>
    </row>
    <row r="47" spans="2:15" ht="16.95" customHeight="1">
      <c r="D47" s="230"/>
      <c r="E47" s="229"/>
      <c r="F47" s="1"/>
      <c r="G47" s="1"/>
      <c r="H47" s="1"/>
      <c r="I47" s="1"/>
      <c r="J47" s="1"/>
      <c r="K47" s="98"/>
    </row>
    <row r="48" spans="2:15" ht="16.95" customHeight="1">
      <c r="D48" s="1"/>
      <c r="E48" s="1"/>
      <c r="F48" s="1"/>
      <c r="G48" s="1"/>
      <c r="H48" s="1"/>
      <c r="I48" s="1"/>
      <c r="J48" s="1"/>
      <c r="K48" s="98"/>
    </row>
    <row r="49" spans="4:11" ht="16.95" customHeight="1">
      <c r="D49" s="1"/>
      <c r="E49" s="1"/>
      <c r="F49" s="1"/>
      <c r="G49" s="1"/>
      <c r="H49" s="1"/>
      <c r="I49" s="1"/>
      <c r="J49" s="1"/>
      <c r="K49" s="98"/>
    </row>
    <row r="50" spans="4:11" ht="16.95" customHeight="1">
      <c r="D50" s="1"/>
      <c r="E50" s="1"/>
      <c r="F50" s="1"/>
      <c r="G50" s="1"/>
      <c r="H50" s="1"/>
      <c r="I50" s="1"/>
      <c r="J50" s="1"/>
      <c r="K50" s="98"/>
    </row>
    <row r="51" spans="4:11" ht="16.95" customHeight="1">
      <c r="D51" s="1"/>
      <c r="E51" s="1"/>
      <c r="F51" s="1"/>
      <c r="G51" s="1"/>
      <c r="H51" s="1"/>
      <c r="I51" s="1"/>
      <c r="J51" s="1"/>
      <c r="K51" s="98"/>
    </row>
    <row r="52" spans="4:11" ht="16.95" customHeight="1">
      <c r="D52" s="1"/>
      <c r="E52" s="1"/>
      <c r="F52" s="1"/>
      <c r="G52" s="1"/>
      <c r="H52" s="1"/>
      <c r="I52" s="1"/>
      <c r="J52" s="1"/>
      <c r="K52" s="98"/>
    </row>
    <row r="53" spans="4:11" ht="16.95" customHeight="1">
      <c r="D53" s="1"/>
      <c r="E53" s="1"/>
      <c r="F53" s="1"/>
      <c r="G53" s="1"/>
      <c r="H53" s="1"/>
      <c r="I53" s="1"/>
      <c r="J53" s="1"/>
      <c r="K53" s="98"/>
    </row>
    <row r="54" spans="4:11" ht="16.95" customHeight="1">
      <c r="D54" s="1"/>
      <c r="E54" s="1"/>
      <c r="F54" s="1"/>
      <c r="G54" s="1"/>
      <c r="H54" s="1"/>
      <c r="I54" s="1"/>
      <c r="J54" s="1"/>
      <c r="K54" s="98"/>
    </row>
    <row r="55" spans="4:11" ht="16.95" customHeight="1">
      <c r="D55" s="1"/>
      <c r="E55" s="1"/>
      <c r="F55" s="1"/>
      <c r="G55" s="1"/>
      <c r="H55" s="1"/>
      <c r="I55" s="1"/>
      <c r="J55" s="1"/>
      <c r="K55" s="98"/>
    </row>
    <row r="56" spans="4:11" ht="16.95" customHeight="1">
      <c r="D56" s="1"/>
      <c r="E56" s="1"/>
      <c r="F56" s="1"/>
      <c r="G56" s="1"/>
      <c r="H56" s="1"/>
      <c r="I56" s="1"/>
      <c r="J56" s="1"/>
      <c r="K56" s="98"/>
    </row>
    <row r="57" spans="4:11" ht="16.95" customHeight="1">
      <c r="D57" s="1"/>
      <c r="E57" s="1"/>
      <c r="F57" s="1"/>
      <c r="G57" s="1"/>
      <c r="H57" s="1"/>
      <c r="I57" s="1"/>
      <c r="J57" s="1"/>
      <c r="K57" s="98"/>
    </row>
    <row r="58" spans="4:11" ht="16.95" customHeight="1">
      <c r="D58" s="1"/>
      <c r="E58" s="1"/>
      <c r="F58" s="1"/>
      <c r="G58" s="1"/>
      <c r="H58" s="1"/>
      <c r="I58" s="1"/>
      <c r="J58" s="1"/>
      <c r="K58" s="98"/>
    </row>
    <row r="59" spans="4:11" ht="16.95" customHeight="1">
      <c r="D59" s="1"/>
      <c r="E59" s="1"/>
      <c r="F59" s="1"/>
      <c r="G59" s="1"/>
      <c r="H59" s="1"/>
      <c r="I59" s="1"/>
      <c r="J59" s="1"/>
      <c r="K59" s="98"/>
    </row>
    <row r="60" spans="4:11" ht="16.95" customHeight="1">
      <c r="D60" s="1"/>
      <c r="E60" s="1"/>
      <c r="F60" s="1"/>
      <c r="G60" s="1"/>
      <c r="H60" s="1"/>
      <c r="I60" s="1"/>
      <c r="J60" s="1"/>
      <c r="K60" s="98"/>
    </row>
    <row r="61" spans="4:11" ht="16.95" customHeight="1">
      <c r="D61" s="1"/>
      <c r="E61" s="1"/>
      <c r="F61" s="1"/>
      <c r="G61" s="1"/>
      <c r="H61" s="1"/>
      <c r="I61" s="1"/>
      <c r="J61" s="1"/>
      <c r="K61" s="98"/>
    </row>
  </sheetData>
  <sheetProtection sort="0" autoFilter="0"/>
  <mergeCells count="31">
    <mergeCell ref="D14:E14"/>
    <mergeCell ref="D19:J19"/>
    <mergeCell ref="C38:E38"/>
    <mergeCell ref="C37:E37"/>
    <mergeCell ref="H37:J37"/>
    <mergeCell ref="H17:J17"/>
    <mergeCell ref="D22:J22"/>
    <mergeCell ref="C28:J32"/>
    <mergeCell ref="H34:J34"/>
    <mergeCell ref="C40:J40"/>
    <mergeCell ref="D15:J15"/>
    <mergeCell ref="D21:E21"/>
    <mergeCell ref="J42:J43"/>
    <mergeCell ref="G41:H41"/>
    <mergeCell ref="B43:E43"/>
    <mergeCell ref="H44:J44"/>
    <mergeCell ref="C1:J7"/>
    <mergeCell ref="H14:J14"/>
    <mergeCell ref="D23:E23"/>
    <mergeCell ref="C25:H25"/>
    <mergeCell ref="E16:I16"/>
    <mergeCell ref="C35:E35"/>
    <mergeCell ref="H36:J36"/>
    <mergeCell ref="H35:J35"/>
    <mergeCell ref="C27:J27"/>
    <mergeCell ref="E18:J18"/>
    <mergeCell ref="C36:D36"/>
    <mergeCell ref="C39:E39"/>
    <mergeCell ref="D20:J20"/>
    <mergeCell ref="C8:J13"/>
    <mergeCell ref="G42:H42"/>
  </mergeCells>
  <conditionalFormatting sqref="C37 F37 H37">
    <cfRule type="expression" dxfId="21" priority="16">
      <formula>$H$37&gt;599441</formula>
    </cfRule>
  </conditionalFormatting>
  <conditionalFormatting sqref="C37:J37">
    <cfRule type="expression" dxfId="20" priority="7">
      <formula>$H$37="529,44"</formula>
    </cfRule>
  </conditionalFormatting>
  <conditionalFormatting sqref="H26:J26">
    <cfRule type="expression" dxfId="19" priority="4">
      <formula>$J$25=""</formula>
    </cfRule>
    <cfRule type="expression" dxfId="18" priority="6">
      <formula>$J$25="Set Policy"</formula>
    </cfRule>
    <cfRule type="expression" dxfId="17" priority="9">
      <formula>$J$25="Case-by-Case"</formula>
    </cfRule>
    <cfRule type="expression" dxfId="16" priority="10">
      <formula>$K$26&gt;0</formula>
    </cfRule>
  </conditionalFormatting>
  <conditionalFormatting sqref="J25">
    <cfRule type="expression" dxfId="15" priority="1">
      <formula>$J$25=""</formula>
    </cfRule>
    <cfRule type="expression" priority="2">
      <formula>$J$25=""</formula>
    </cfRule>
    <cfRule type="expression" dxfId="14" priority="5">
      <formula>$J$25="Case-by-Case"</formula>
    </cfRule>
  </conditionalFormatting>
  <conditionalFormatting sqref="J26">
    <cfRule type="expression" dxfId="13" priority="3">
      <formula>$J$25=""</formula>
    </cfRule>
  </conditionalFormatting>
  <pageMargins left="0.7" right="0.7" top="0.75" bottom="0.75" header="0.3" footer="0.3"/>
  <pageSetup scale="82"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0D9570D-BA85-4503-874A-8DC44DD32A42}">
          <x14:formula1>
            <xm:f>DropDown!$G$2:$G$160</xm:f>
          </x14:formula1>
          <xm:sqref>D16</xm:sqref>
        </x14:dataValidation>
        <x14:dataValidation type="list" allowBlank="1" showInputMessage="1" showErrorMessage="1" xr:uid="{7B00487C-0202-4554-88E5-3FB36D22FFF8}">
          <x14:formula1>
            <xm:f>DropDown!$C$2:$C$3</xm:f>
          </x14:formula1>
          <xm:sqref>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2420-0AC2-44CF-AC16-6D94694A8F60}">
  <sheetPr codeName="Sheet2">
    <tabColor rgb="FFFFFF00"/>
    <pageSetUpPr fitToPage="1"/>
  </sheetPr>
  <dimension ref="A1:AG229"/>
  <sheetViews>
    <sheetView workbookViewId="0">
      <pane xSplit="2" ySplit="2" topLeftCell="C3" activePane="bottomRight" state="frozen"/>
      <selection pane="topRight" activeCell="C1" sqref="C1"/>
      <selection pane="bottomLeft" activeCell="A3" sqref="A3"/>
      <selection pane="bottomRight" activeCell="B3" sqref="B3"/>
    </sheetView>
  </sheetViews>
  <sheetFormatPr defaultColWidth="8.77734375" defaultRowHeight="17.55" customHeight="1"/>
  <cols>
    <col min="1" max="1" width="5.109375" style="69" customWidth="1"/>
    <col min="2" max="2" width="6.33203125" style="246" customWidth="1"/>
    <col min="3" max="3" width="20.44140625" style="246" customWidth="1"/>
    <col min="4" max="4" width="11.88671875" style="246" customWidth="1"/>
    <col min="5" max="5" width="18.21875" style="246" customWidth="1"/>
    <col min="6" max="6" width="6.21875" style="95" customWidth="1"/>
    <col min="7" max="7" width="5" style="69" customWidth="1"/>
    <col min="8" max="8" width="17.109375" style="246" customWidth="1"/>
    <col min="9" max="9" width="11.6640625" style="246" customWidth="1"/>
    <col min="10" max="10" width="16.77734375" style="246" customWidth="1"/>
    <col min="11" max="11" width="5.77734375" style="69" customWidth="1"/>
    <col min="12" max="13" width="5.44140625" style="69" customWidth="1"/>
    <col min="14" max="14" width="4.5546875" style="69" customWidth="1"/>
    <col min="15" max="15" width="14.77734375" style="246" customWidth="1"/>
    <col min="16" max="16" width="10.5546875" style="92" customWidth="1"/>
    <col min="17" max="17" width="14.6640625" style="95" customWidth="1"/>
    <col min="18" max="18" width="8.77734375" style="69" customWidth="1"/>
    <col min="19" max="19" width="5.44140625" style="69" customWidth="1"/>
    <col min="20" max="20" width="7.6640625" style="69" customWidth="1"/>
    <col min="21" max="21" width="13.5546875" style="69" customWidth="1"/>
    <col min="22" max="22" width="4.77734375" style="69" customWidth="1"/>
    <col min="23" max="23" width="13.33203125" style="69" customWidth="1"/>
    <col min="24" max="24" width="5.33203125" style="246" customWidth="1"/>
    <col min="25" max="25" width="12.6640625" style="246" customWidth="1"/>
    <col min="26" max="26" width="6.77734375" style="95" customWidth="1"/>
    <col min="27" max="27" width="5.5546875" style="69" customWidth="1"/>
    <col min="28" max="28" width="19.77734375" style="246" customWidth="1"/>
    <col min="29" max="29" width="4.21875" style="69" customWidth="1"/>
    <col min="30" max="30" width="4.88671875" style="69" customWidth="1"/>
    <col min="31" max="31" width="4.5546875" style="69" customWidth="1"/>
    <col min="32" max="32" width="0.21875" style="69" customWidth="1"/>
    <col min="33" max="33" width="0.109375" style="69" customWidth="1"/>
    <col min="34" max="34" width="8.21875" style="69" customWidth="1"/>
    <col min="35" max="16384" width="8.77734375" style="69"/>
  </cols>
  <sheetData>
    <row r="1" spans="1:33" s="58" customFormat="1" ht="17.55" customHeight="1" thickBot="1">
      <c r="A1" s="90"/>
      <c r="B1" s="242"/>
      <c r="C1" s="242"/>
      <c r="D1" s="242"/>
      <c r="E1" s="242" t="s">
        <v>297</v>
      </c>
      <c r="F1" s="109"/>
      <c r="G1" s="109"/>
      <c r="H1" s="242"/>
      <c r="I1" s="242"/>
      <c r="J1" s="242"/>
      <c r="K1" s="109"/>
      <c r="L1" s="109"/>
      <c r="M1" s="109"/>
      <c r="N1" s="109"/>
      <c r="O1" s="242"/>
      <c r="P1" s="109"/>
      <c r="Q1" s="109"/>
      <c r="R1" s="109"/>
      <c r="S1" s="109"/>
      <c r="T1" s="148"/>
      <c r="U1" s="312" t="s">
        <v>339</v>
      </c>
      <c r="V1" s="312"/>
      <c r="W1" s="312"/>
      <c r="X1" s="312"/>
      <c r="Y1" s="312"/>
      <c r="Z1" s="312"/>
      <c r="AA1" s="312"/>
      <c r="AB1" s="312"/>
      <c r="AC1" s="312"/>
      <c r="AD1" s="312"/>
      <c r="AE1" s="312"/>
      <c r="AF1" s="312"/>
      <c r="AG1" s="204"/>
    </row>
    <row r="2" spans="1:33" s="136" customFormat="1" ht="121.5" customHeight="1" thickBot="1">
      <c r="A2" s="128" t="s">
        <v>9</v>
      </c>
      <c r="B2" s="243" t="s">
        <v>309</v>
      </c>
      <c r="C2" s="243" t="s">
        <v>21</v>
      </c>
      <c r="D2" s="243" t="s">
        <v>330</v>
      </c>
      <c r="E2" s="243" t="s">
        <v>23</v>
      </c>
      <c r="F2" s="117" t="s">
        <v>342</v>
      </c>
      <c r="G2" s="117" t="s">
        <v>24</v>
      </c>
      <c r="H2" s="243" t="s">
        <v>25</v>
      </c>
      <c r="I2" s="243" t="s">
        <v>26</v>
      </c>
      <c r="J2" s="243" t="s">
        <v>27</v>
      </c>
      <c r="K2" s="117" t="s">
        <v>28</v>
      </c>
      <c r="L2" s="117" t="s">
        <v>58</v>
      </c>
      <c r="M2" s="117" t="s">
        <v>59</v>
      </c>
      <c r="N2" s="117" t="s">
        <v>30</v>
      </c>
      <c r="O2" s="243" t="s">
        <v>31</v>
      </c>
      <c r="P2" s="117" t="s">
        <v>298</v>
      </c>
      <c r="Q2" s="117" t="s">
        <v>306</v>
      </c>
      <c r="R2" s="117" t="s">
        <v>307</v>
      </c>
      <c r="S2" s="117" t="s">
        <v>328</v>
      </c>
      <c r="T2" s="117" t="s">
        <v>35</v>
      </c>
      <c r="U2" s="117" t="s">
        <v>358</v>
      </c>
      <c r="V2" s="117" t="s">
        <v>331</v>
      </c>
      <c r="W2" s="117" t="s">
        <v>57</v>
      </c>
      <c r="X2" s="243" t="s">
        <v>56</v>
      </c>
      <c r="Y2" s="243" t="s">
        <v>329</v>
      </c>
      <c r="Z2" s="117" t="s">
        <v>343</v>
      </c>
      <c r="AA2" s="117" t="s">
        <v>42</v>
      </c>
      <c r="AB2" s="243" t="s">
        <v>47</v>
      </c>
      <c r="AC2" s="117" t="s">
        <v>60</v>
      </c>
      <c r="AD2" s="117" t="s">
        <v>338</v>
      </c>
      <c r="AE2" s="117" t="s">
        <v>46</v>
      </c>
      <c r="AF2" s="206" t="s">
        <v>51</v>
      </c>
    </row>
    <row r="3" spans="1:33" s="61" customFormat="1" ht="12" customHeight="1">
      <c r="A3" s="59">
        <v>1</v>
      </c>
      <c r="B3" s="244"/>
      <c r="C3" s="244"/>
      <c r="D3" s="245"/>
      <c r="E3" s="244"/>
      <c r="F3" s="213"/>
      <c r="G3" s="209"/>
      <c r="H3" s="244"/>
      <c r="I3" s="244"/>
      <c r="J3" s="244"/>
      <c r="K3" s="209"/>
      <c r="L3" s="209"/>
      <c r="M3" s="209"/>
      <c r="N3" s="209"/>
      <c r="O3" s="244"/>
      <c r="P3" s="210"/>
      <c r="Q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Model Year?</v>
      </c>
      <c r="R3" s="213"/>
      <c r="S3" s="213"/>
      <c r="T3" s="213"/>
      <c r="U3" s="209"/>
      <c r="V3" s="213"/>
      <c r="W3" s="214"/>
      <c r="X3" s="244"/>
      <c r="Y3" s="244"/>
      <c r="Z3" s="226" t="str">
        <f>IF(Table1[[#This Row],[Bus Type (A,B,C,D)]]="","",IF(Table1[[#This Row],[New Engine Fuel Type or Bus Eliminated:]]="Bus Eliminated","",Table1[[#This Row],[Bus Type (A,B,C,D)]]))</f>
        <v/>
      </c>
      <c r="AA3" s="209"/>
      <c r="AB3" s="244"/>
      <c r="AC3" s="209"/>
      <c r="AD3" s="209"/>
      <c r="AE3" s="211"/>
      <c r="AF3" s="205"/>
    </row>
    <row r="4" spans="1:33" s="61" customFormat="1" ht="12" customHeight="1">
      <c r="A4" s="62" t="str">
        <f>IF(A3&lt;Application!$D$24,A3+1,"")</f>
        <v/>
      </c>
      <c r="B4" s="244"/>
      <c r="C4" s="244"/>
      <c r="D4" s="245"/>
      <c r="E4" s="244"/>
      <c r="F4" s="213"/>
      <c r="G4" s="209"/>
      <c r="H4" s="244"/>
      <c r="I4" s="244"/>
      <c r="J4" s="244"/>
      <c r="K4" s="209"/>
      <c r="L4" s="209"/>
      <c r="M4" s="209"/>
      <c r="N4" s="209"/>
      <c r="O4" s="244"/>
      <c r="P4" s="210"/>
      <c r="Q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 s="213"/>
      <c r="S4" s="213"/>
      <c r="T4" s="213"/>
      <c r="U4" s="209"/>
      <c r="V4" s="213"/>
      <c r="W4" s="214"/>
      <c r="X4" s="245"/>
      <c r="Y4" s="244"/>
      <c r="Z4" s="226" t="str">
        <f>IF(Table1[[#This Row],[Bus Type (A,B,C,D)]]="","",IF(Table1[[#This Row],[New Engine Fuel Type or Bus Eliminated:]]="Bus Eliminated","",Table1[[#This Row],[Bus Type (A,B,C,D)]]))</f>
        <v/>
      </c>
      <c r="AA4" s="209"/>
      <c r="AB4" s="244"/>
      <c r="AC4" s="211"/>
      <c r="AD4" s="211"/>
      <c r="AE4" s="211"/>
      <c r="AF4" s="205"/>
    </row>
    <row r="5" spans="1:33" s="61" customFormat="1" ht="12" customHeight="1">
      <c r="A5" s="62" t="str">
        <f>IF(A4&lt;Application!$D$24,A4+1,"")</f>
        <v/>
      </c>
      <c r="B5" s="245"/>
      <c r="C5" s="245"/>
      <c r="D5" s="245"/>
      <c r="E5" s="245"/>
      <c r="F5" s="213"/>
      <c r="G5" s="209"/>
      <c r="H5" s="247"/>
      <c r="I5" s="245"/>
      <c r="J5" s="245"/>
      <c r="K5" s="209"/>
      <c r="L5" s="209"/>
      <c r="M5" s="211"/>
      <c r="N5" s="209"/>
      <c r="O5" s="244"/>
      <c r="P5" s="212"/>
      <c r="Q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 s="213"/>
      <c r="S5" s="213"/>
      <c r="T5" s="213"/>
      <c r="U5" s="209"/>
      <c r="V5" s="213"/>
      <c r="W5" s="214"/>
      <c r="X5" s="245"/>
      <c r="Y5" s="244"/>
      <c r="Z5" s="226" t="str">
        <f>IF(Table1[[#This Row],[Bus Type (A,B,C,D)]]="","",IF(Table1[[#This Row],[New Engine Fuel Type or Bus Eliminated:]]="Bus Eliminated","",Table1[[#This Row],[Bus Type (A,B,C,D)]]))</f>
        <v/>
      </c>
      <c r="AA5" s="209"/>
      <c r="AB5" s="244"/>
      <c r="AC5" s="211"/>
      <c r="AD5" s="211"/>
      <c r="AE5" s="211"/>
      <c r="AF5" s="205"/>
    </row>
    <row r="6" spans="1:33" s="61" customFormat="1" ht="12" customHeight="1">
      <c r="A6" s="62" t="str">
        <f>IF(A5&lt;Application!$D$24,A5+1,"")</f>
        <v/>
      </c>
      <c r="B6" s="245"/>
      <c r="C6" s="245"/>
      <c r="D6" s="245"/>
      <c r="E6" s="245"/>
      <c r="F6" s="213"/>
      <c r="G6" s="209"/>
      <c r="H6" s="247"/>
      <c r="I6" s="245"/>
      <c r="J6" s="245"/>
      <c r="K6" s="209"/>
      <c r="L6" s="209"/>
      <c r="M6" s="211"/>
      <c r="N6" s="209"/>
      <c r="O6" s="244"/>
      <c r="P6" s="212"/>
      <c r="Q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 s="213"/>
      <c r="S6" s="213"/>
      <c r="T6" s="213"/>
      <c r="U6" s="209"/>
      <c r="V6" s="213"/>
      <c r="W6" s="214"/>
      <c r="X6" s="245"/>
      <c r="Y6" s="244"/>
      <c r="Z6" s="226" t="str">
        <f>IF(Table1[[#This Row],[Bus Type (A,B,C,D)]]="","",IF(Table1[[#This Row],[New Engine Fuel Type or Bus Eliminated:]]="Bus Eliminated","",Table1[[#This Row],[Bus Type (A,B,C,D)]]))</f>
        <v/>
      </c>
      <c r="AA6" s="209"/>
      <c r="AB6" s="244"/>
      <c r="AC6" s="211"/>
      <c r="AD6" s="211"/>
      <c r="AE6" s="211"/>
      <c r="AF6" s="205"/>
    </row>
    <row r="7" spans="1:33" s="61" customFormat="1" ht="12" customHeight="1">
      <c r="A7" s="62" t="str">
        <f>IF(A6&lt;Application!$D$24,A6+1,"")</f>
        <v/>
      </c>
      <c r="B7" s="245"/>
      <c r="C7" s="245"/>
      <c r="D7" s="245"/>
      <c r="E7" s="245"/>
      <c r="F7" s="213"/>
      <c r="G7" s="209"/>
      <c r="H7" s="247"/>
      <c r="I7" s="245"/>
      <c r="J7" s="245"/>
      <c r="K7" s="209"/>
      <c r="L7" s="209"/>
      <c r="M7" s="211"/>
      <c r="N7" s="209"/>
      <c r="O7" s="244"/>
      <c r="P7" s="212"/>
      <c r="Q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 s="213"/>
      <c r="S7" s="213"/>
      <c r="T7" s="213"/>
      <c r="U7" s="209"/>
      <c r="V7" s="213"/>
      <c r="W7" s="214"/>
      <c r="X7" s="245"/>
      <c r="Y7" s="244"/>
      <c r="Z7" s="226" t="str">
        <f>IF(Table1[[#This Row],[Bus Type (A,B,C,D)]]="","",IF(Table1[[#This Row],[New Engine Fuel Type or Bus Eliminated:]]="Bus Eliminated","",Table1[[#This Row],[Bus Type (A,B,C,D)]]))</f>
        <v/>
      </c>
      <c r="AA7" s="209"/>
      <c r="AB7" s="244"/>
      <c r="AC7" s="211"/>
      <c r="AD7" s="211"/>
      <c r="AE7" s="211"/>
      <c r="AF7" s="205"/>
    </row>
    <row r="8" spans="1:33" s="61" customFormat="1" ht="12" customHeight="1">
      <c r="A8" s="62" t="str">
        <f>IF(A7&lt;Application!$D$24,A7+1,"")</f>
        <v/>
      </c>
      <c r="B8" s="245"/>
      <c r="C8" s="244"/>
      <c r="D8" s="244"/>
      <c r="E8" s="244"/>
      <c r="F8" s="213"/>
      <c r="G8" s="209"/>
      <c r="H8" s="244"/>
      <c r="I8" s="244"/>
      <c r="J8" s="244"/>
      <c r="K8" s="209"/>
      <c r="L8" s="209"/>
      <c r="M8" s="211"/>
      <c r="N8" s="209"/>
      <c r="O8" s="244"/>
      <c r="P8" s="210"/>
      <c r="Q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 s="213"/>
      <c r="S8" s="213"/>
      <c r="T8" s="213"/>
      <c r="U8" s="209"/>
      <c r="V8" s="213"/>
      <c r="W8" s="214"/>
      <c r="X8" s="245"/>
      <c r="Y8" s="244"/>
      <c r="Z8" s="226" t="str">
        <f>IF(Table1[[#This Row],[Bus Type (A,B,C,D)]]="","",IF(Table1[[#This Row],[New Engine Fuel Type or Bus Eliminated:]]="Bus Eliminated","",Table1[[#This Row],[Bus Type (A,B,C,D)]]))</f>
        <v/>
      </c>
      <c r="AA8" s="209"/>
      <c r="AB8" s="244"/>
      <c r="AC8" s="209"/>
      <c r="AD8" s="209"/>
      <c r="AE8" s="211"/>
      <c r="AF8" s="205"/>
    </row>
    <row r="9" spans="1:33" s="61" customFormat="1" ht="12" customHeight="1">
      <c r="A9" s="62" t="str">
        <f>IF(A8&lt;Application!$D$24,A8+1,"")</f>
        <v/>
      </c>
      <c r="B9" s="245"/>
      <c r="C9" s="247"/>
      <c r="D9" s="244"/>
      <c r="E9" s="245"/>
      <c r="F9" s="213"/>
      <c r="G9" s="209"/>
      <c r="H9" s="245"/>
      <c r="I9" s="245"/>
      <c r="J9" s="245"/>
      <c r="K9" s="209"/>
      <c r="L9" s="209"/>
      <c r="M9" s="211"/>
      <c r="N9" s="209"/>
      <c r="O9" s="244"/>
      <c r="P9" s="212"/>
      <c r="Q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 s="213"/>
      <c r="S9" s="213"/>
      <c r="T9" s="213"/>
      <c r="U9" s="209"/>
      <c r="V9" s="213"/>
      <c r="W9" s="214"/>
      <c r="X9" s="245"/>
      <c r="Y9" s="244"/>
      <c r="Z9" s="226" t="str">
        <f>IF(Table1[[#This Row],[Bus Type (A,B,C,D)]]="","",IF(Table1[[#This Row],[New Engine Fuel Type or Bus Eliminated:]]="Bus Eliminated","",Table1[[#This Row],[Bus Type (A,B,C,D)]]))</f>
        <v/>
      </c>
      <c r="AA9" s="209"/>
      <c r="AB9" s="244"/>
      <c r="AC9" s="211"/>
      <c r="AD9" s="211"/>
      <c r="AE9" s="211"/>
      <c r="AF9" s="205"/>
    </row>
    <row r="10" spans="1:33" s="61" customFormat="1" ht="12" customHeight="1">
      <c r="A10" s="62" t="str">
        <f>IF(A9&lt;Application!$D$24,A9+1,"")</f>
        <v/>
      </c>
      <c r="B10" s="245"/>
      <c r="C10" s="245"/>
      <c r="D10" s="244"/>
      <c r="E10" s="245"/>
      <c r="F10" s="213"/>
      <c r="G10" s="209"/>
      <c r="H10" s="247"/>
      <c r="I10" s="245"/>
      <c r="J10" s="245"/>
      <c r="K10" s="209"/>
      <c r="L10" s="209"/>
      <c r="M10" s="211"/>
      <c r="N10" s="209"/>
      <c r="O10" s="244"/>
      <c r="P10" s="212"/>
      <c r="Q1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 s="213"/>
      <c r="S10" s="213"/>
      <c r="T10" s="213"/>
      <c r="U10" s="209"/>
      <c r="V10" s="213"/>
      <c r="W10" s="214"/>
      <c r="X10" s="245"/>
      <c r="Y10" s="244"/>
      <c r="Z10" s="226" t="str">
        <f>IF(Table1[[#This Row],[Bus Type (A,B,C,D)]]="","",IF(Table1[[#This Row],[New Engine Fuel Type or Bus Eliminated:]]="Bus Eliminated","",Table1[[#This Row],[Bus Type (A,B,C,D)]]))</f>
        <v/>
      </c>
      <c r="AA10" s="209"/>
      <c r="AB10" s="244"/>
      <c r="AC10" s="211"/>
      <c r="AD10" s="211"/>
      <c r="AE10" s="211"/>
      <c r="AF10" s="205"/>
    </row>
    <row r="11" spans="1:33" s="61" customFormat="1" ht="12" customHeight="1">
      <c r="A11" s="62" t="str">
        <f>IF(A10&lt;Application!$D$24,A10+1,"")</f>
        <v/>
      </c>
      <c r="B11" s="245"/>
      <c r="C11" s="245"/>
      <c r="D11" s="244"/>
      <c r="E11" s="245"/>
      <c r="F11" s="213"/>
      <c r="G11" s="209"/>
      <c r="H11" s="247"/>
      <c r="I11" s="245"/>
      <c r="J11" s="245"/>
      <c r="K11" s="209"/>
      <c r="L11" s="209"/>
      <c r="M11" s="211"/>
      <c r="N11" s="209"/>
      <c r="O11" s="244"/>
      <c r="P11" s="212"/>
      <c r="Q1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 s="213"/>
      <c r="S11" s="213"/>
      <c r="T11" s="213"/>
      <c r="U11" s="209"/>
      <c r="V11" s="213"/>
      <c r="W11" s="214"/>
      <c r="X11" s="245"/>
      <c r="Y11" s="244"/>
      <c r="Z11" s="226" t="str">
        <f>IF(Table1[[#This Row],[Bus Type (A,B,C,D)]]="","",IF(Table1[[#This Row],[New Engine Fuel Type or Bus Eliminated:]]="Bus Eliminated","",Table1[[#This Row],[Bus Type (A,B,C,D)]]))</f>
        <v/>
      </c>
      <c r="AA11" s="209"/>
      <c r="AB11" s="244"/>
      <c r="AC11" s="211"/>
      <c r="AD11" s="211"/>
      <c r="AE11" s="211"/>
      <c r="AF11" s="205"/>
    </row>
    <row r="12" spans="1:33" s="61" customFormat="1" ht="12" customHeight="1">
      <c r="A12" s="62" t="str">
        <f>IF(A11&lt;Application!$D$24,A11+1,"")</f>
        <v/>
      </c>
      <c r="B12" s="245"/>
      <c r="C12" s="245"/>
      <c r="D12" s="244"/>
      <c r="E12" s="245"/>
      <c r="F12" s="213"/>
      <c r="G12" s="209"/>
      <c r="H12" s="247"/>
      <c r="I12" s="245"/>
      <c r="J12" s="245"/>
      <c r="K12" s="209"/>
      <c r="L12" s="209"/>
      <c r="M12" s="211"/>
      <c r="N12" s="209"/>
      <c r="O12" s="244"/>
      <c r="P12" s="212"/>
      <c r="Q1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 s="213"/>
      <c r="S12" s="213"/>
      <c r="T12" s="213"/>
      <c r="U12" s="209"/>
      <c r="V12" s="213"/>
      <c r="W12" s="214"/>
      <c r="X12" s="245"/>
      <c r="Y12" s="244"/>
      <c r="Z12" s="226" t="str">
        <f>IF(Table1[[#This Row],[Bus Type (A,B,C,D)]]="","",IF(Table1[[#This Row],[New Engine Fuel Type or Bus Eliminated:]]="Bus Eliminated","",Table1[[#This Row],[Bus Type (A,B,C,D)]]))</f>
        <v/>
      </c>
      <c r="AA12" s="209"/>
      <c r="AB12" s="244"/>
      <c r="AC12" s="211"/>
      <c r="AD12" s="211"/>
      <c r="AE12" s="211"/>
      <c r="AF12" s="205"/>
    </row>
    <row r="13" spans="1:33" ht="12" customHeight="1">
      <c r="A13" s="62" t="str">
        <f>IF(A12&lt;Application!$D$24,A12+1,"")</f>
        <v/>
      </c>
      <c r="B13" s="245"/>
      <c r="C13" s="244"/>
      <c r="D13" s="244"/>
      <c r="E13" s="244"/>
      <c r="F13" s="213"/>
      <c r="G13" s="209"/>
      <c r="H13" s="244"/>
      <c r="I13" s="244"/>
      <c r="J13" s="244"/>
      <c r="K13" s="209"/>
      <c r="L13" s="209"/>
      <c r="M13" s="211"/>
      <c r="N13" s="209"/>
      <c r="O13" s="244"/>
      <c r="P13" s="210"/>
      <c r="Q1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 s="213"/>
      <c r="S13" s="213"/>
      <c r="T13" s="213"/>
      <c r="U13" s="209"/>
      <c r="V13" s="213"/>
      <c r="W13" s="214"/>
      <c r="X13" s="245"/>
      <c r="Y13" s="244"/>
      <c r="Z13" s="226" t="str">
        <f>IF(Table1[[#This Row],[Bus Type (A,B,C,D)]]="","",IF(Table1[[#This Row],[New Engine Fuel Type or Bus Eliminated:]]="Bus Eliminated","",Table1[[#This Row],[Bus Type (A,B,C,D)]]))</f>
        <v/>
      </c>
      <c r="AA13" s="209"/>
      <c r="AB13" s="244"/>
      <c r="AC13" s="209"/>
      <c r="AD13" s="209"/>
      <c r="AE13" s="211"/>
      <c r="AF13" s="201"/>
    </row>
    <row r="14" spans="1:33" ht="12" customHeight="1">
      <c r="A14" s="62" t="str">
        <f>IF(A13&lt;Application!$D$24,A13+1,"")</f>
        <v/>
      </c>
      <c r="B14" s="245"/>
      <c r="C14" s="247"/>
      <c r="D14" s="244"/>
      <c r="E14" s="245"/>
      <c r="F14" s="213"/>
      <c r="G14" s="209"/>
      <c r="H14" s="245"/>
      <c r="I14" s="245"/>
      <c r="J14" s="245"/>
      <c r="K14" s="209"/>
      <c r="L14" s="209"/>
      <c r="M14" s="211"/>
      <c r="N14" s="209"/>
      <c r="O14" s="244"/>
      <c r="P14" s="212"/>
      <c r="Q1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 s="213"/>
      <c r="S14" s="213"/>
      <c r="T14" s="213"/>
      <c r="U14" s="209"/>
      <c r="V14" s="213"/>
      <c r="W14" s="214"/>
      <c r="X14" s="245"/>
      <c r="Y14" s="244"/>
      <c r="Z14" s="226" t="str">
        <f>IF(Table1[[#This Row],[Bus Type (A,B,C,D)]]="","",IF(Table1[[#This Row],[New Engine Fuel Type or Bus Eliminated:]]="Bus Eliminated","",Table1[[#This Row],[Bus Type (A,B,C,D)]]))</f>
        <v/>
      </c>
      <c r="AA14" s="209"/>
      <c r="AB14" s="244"/>
      <c r="AC14" s="211"/>
      <c r="AD14" s="211"/>
      <c r="AE14" s="211"/>
      <c r="AF14" s="201"/>
    </row>
    <row r="15" spans="1:33" ht="12" customHeight="1">
      <c r="A15" s="62" t="str">
        <f>IF(A14&lt;Application!$D$24,A14+1,"")</f>
        <v/>
      </c>
      <c r="B15" s="245"/>
      <c r="C15" s="245"/>
      <c r="D15" s="244"/>
      <c r="E15" s="245"/>
      <c r="F15" s="213"/>
      <c r="G15" s="209"/>
      <c r="H15" s="247"/>
      <c r="I15" s="245"/>
      <c r="J15" s="245"/>
      <c r="K15" s="209"/>
      <c r="L15" s="209"/>
      <c r="M15" s="211"/>
      <c r="N15" s="209"/>
      <c r="O15" s="244"/>
      <c r="P15" s="212"/>
      <c r="Q1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 s="213"/>
      <c r="S15" s="213"/>
      <c r="T15" s="213"/>
      <c r="U15" s="209"/>
      <c r="V15" s="213"/>
      <c r="W15" s="214"/>
      <c r="X15" s="245"/>
      <c r="Y15" s="244"/>
      <c r="Z15" s="226" t="str">
        <f>IF(Table1[[#This Row],[Bus Type (A,B,C,D)]]="","",IF(Table1[[#This Row],[New Engine Fuel Type or Bus Eliminated:]]="Bus Eliminated","",Table1[[#This Row],[Bus Type (A,B,C,D)]]))</f>
        <v/>
      </c>
      <c r="AA15" s="209"/>
      <c r="AB15" s="244"/>
      <c r="AC15" s="211"/>
      <c r="AD15" s="211"/>
      <c r="AE15" s="211"/>
      <c r="AF15" s="201"/>
    </row>
    <row r="16" spans="1:33" ht="12" customHeight="1">
      <c r="A16" s="62" t="str">
        <f>IF(A15&lt;Application!$D$24,A15+1,"")</f>
        <v/>
      </c>
      <c r="B16" s="245"/>
      <c r="C16" s="245"/>
      <c r="D16" s="244"/>
      <c r="E16" s="245"/>
      <c r="F16" s="213"/>
      <c r="G16" s="209"/>
      <c r="H16" s="247"/>
      <c r="I16" s="245"/>
      <c r="J16" s="245"/>
      <c r="K16" s="209"/>
      <c r="L16" s="209"/>
      <c r="M16" s="211"/>
      <c r="N16" s="209"/>
      <c r="O16" s="244"/>
      <c r="P16" s="212"/>
      <c r="Q1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 s="213"/>
      <c r="S16" s="213"/>
      <c r="T16" s="213"/>
      <c r="U16" s="209"/>
      <c r="V16" s="213"/>
      <c r="W16" s="214"/>
      <c r="X16" s="245"/>
      <c r="Y16" s="244"/>
      <c r="Z16" s="226" t="str">
        <f>IF(Table1[[#This Row],[Bus Type (A,B,C,D)]]="","",IF(Table1[[#This Row],[New Engine Fuel Type or Bus Eliminated:]]="Bus Eliminated","",Table1[[#This Row],[Bus Type (A,B,C,D)]]))</f>
        <v/>
      </c>
      <c r="AA16" s="209"/>
      <c r="AB16" s="244"/>
      <c r="AC16" s="211"/>
      <c r="AD16" s="211"/>
      <c r="AE16" s="211"/>
      <c r="AF16" s="201"/>
    </row>
    <row r="17" spans="1:32" ht="12" customHeight="1">
      <c r="A17" s="62" t="str">
        <f>IF(A16&lt;Application!$D$24,A16+1,"")</f>
        <v/>
      </c>
      <c r="B17" s="245"/>
      <c r="C17" s="245"/>
      <c r="D17" s="244"/>
      <c r="E17" s="245"/>
      <c r="F17" s="213"/>
      <c r="G17" s="209"/>
      <c r="H17" s="247"/>
      <c r="I17" s="245"/>
      <c r="J17" s="245"/>
      <c r="K17" s="209"/>
      <c r="L17" s="209"/>
      <c r="M17" s="211"/>
      <c r="N17" s="209"/>
      <c r="O17" s="244"/>
      <c r="P17" s="212"/>
      <c r="Q1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 s="213"/>
      <c r="S17" s="213"/>
      <c r="T17" s="213"/>
      <c r="U17" s="209"/>
      <c r="V17" s="213"/>
      <c r="W17" s="214"/>
      <c r="X17" s="245"/>
      <c r="Y17" s="244"/>
      <c r="Z17" s="226" t="str">
        <f>IF(Table1[[#This Row],[Bus Type (A,B,C,D)]]="","",IF(Table1[[#This Row],[New Engine Fuel Type or Bus Eliminated:]]="Bus Eliminated","",Table1[[#This Row],[Bus Type (A,B,C,D)]]))</f>
        <v/>
      </c>
      <c r="AA17" s="209"/>
      <c r="AB17" s="244"/>
      <c r="AC17" s="211"/>
      <c r="AD17" s="211"/>
      <c r="AE17" s="211"/>
      <c r="AF17" s="201"/>
    </row>
    <row r="18" spans="1:32" ht="12" customHeight="1">
      <c r="A18" s="62" t="str">
        <f>IF(A17&lt;Application!$D$24,A17+1,"")</f>
        <v/>
      </c>
      <c r="B18" s="245"/>
      <c r="C18" s="244"/>
      <c r="D18" s="244"/>
      <c r="E18" s="244"/>
      <c r="F18" s="213"/>
      <c r="G18" s="209"/>
      <c r="H18" s="244"/>
      <c r="I18" s="244"/>
      <c r="J18" s="244"/>
      <c r="K18" s="209"/>
      <c r="L18" s="209"/>
      <c r="M18" s="211"/>
      <c r="N18" s="209"/>
      <c r="O18" s="244"/>
      <c r="P18" s="210"/>
      <c r="Q1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 s="213"/>
      <c r="S18" s="213"/>
      <c r="T18" s="213"/>
      <c r="U18" s="209"/>
      <c r="V18" s="213"/>
      <c r="W18" s="214"/>
      <c r="X18" s="245"/>
      <c r="Y18" s="244"/>
      <c r="Z18" s="226" t="str">
        <f>IF(Table1[[#This Row],[Bus Type (A,B,C,D)]]="","",IF(Table1[[#This Row],[New Engine Fuel Type or Bus Eliminated:]]="Bus Eliminated","",Table1[[#This Row],[Bus Type (A,B,C,D)]]))</f>
        <v/>
      </c>
      <c r="AA18" s="209"/>
      <c r="AB18" s="244"/>
      <c r="AC18" s="209"/>
      <c r="AD18" s="209"/>
      <c r="AE18" s="211"/>
      <c r="AF18" s="201"/>
    </row>
    <row r="19" spans="1:32" ht="12" customHeight="1">
      <c r="A19" s="62" t="str">
        <f>IF(A18&lt;Application!$D$24,A18+1,"")</f>
        <v/>
      </c>
      <c r="B19" s="245"/>
      <c r="C19" s="247"/>
      <c r="D19" s="244"/>
      <c r="E19" s="245"/>
      <c r="F19" s="213"/>
      <c r="G19" s="209"/>
      <c r="H19" s="245"/>
      <c r="I19" s="245"/>
      <c r="J19" s="245"/>
      <c r="K19" s="209"/>
      <c r="L19" s="209"/>
      <c r="M19" s="211"/>
      <c r="N19" s="209"/>
      <c r="O19" s="244"/>
      <c r="P19" s="212"/>
      <c r="Q1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 s="213"/>
      <c r="S19" s="213"/>
      <c r="T19" s="213"/>
      <c r="U19" s="209"/>
      <c r="V19" s="213"/>
      <c r="W19" s="214"/>
      <c r="X19" s="245"/>
      <c r="Y19" s="244"/>
      <c r="Z19" s="226" t="str">
        <f>IF(Table1[[#This Row],[Bus Type (A,B,C,D)]]="","",IF(Table1[[#This Row],[New Engine Fuel Type or Bus Eliminated:]]="Bus Eliminated","",Table1[[#This Row],[Bus Type (A,B,C,D)]]))</f>
        <v/>
      </c>
      <c r="AA19" s="209"/>
      <c r="AB19" s="244"/>
      <c r="AC19" s="211"/>
      <c r="AD19" s="211"/>
      <c r="AE19" s="211"/>
      <c r="AF19" s="201"/>
    </row>
    <row r="20" spans="1:32" ht="12" customHeight="1">
      <c r="A20" s="62" t="str">
        <f>IF(A19&lt;Application!$D$24,A19+1,"")</f>
        <v/>
      </c>
      <c r="B20" s="245"/>
      <c r="C20" s="245"/>
      <c r="D20" s="244"/>
      <c r="E20" s="245"/>
      <c r="F20" s="213"/>
      <c r="G20" s="209"/>
      <c r="H20" s="247"/>
      <c r="I20" s="245"/>
      <c r="J20" s="245"/>
      <c r="K20" s="209"/>
      <c r="L20" s="209"/>
      <c r="M20" s="211"/>
      <c r="N20" s="209"/>
      <c r="O20" s="244"/>
      <c r="P20" s="212"/>
      <c r="Q2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 s="213"/>
      <c r="S20" s="213"/>
      <c r="T20" s="213"/>
      <c r="U20" s="209"/>
      <c r="V20" s="213"/>
      <c r="W20" s="214"/>
      <c r="X20" s="245"/>
      <c r="Y20" s="244"/>
      <c r="Z20" s="226" t="str">
        <f>IF(Table1[[#This Row],[Bus Type (A,B,C,D)]]="","",IF(Table1[[#This Row],[New Engine Fuel Type or Bus Eliminated:]]="Bus Eliminated","",Table1[[#This Row],[Bus Type (A,B,C,D)]]))</f>
        <v/>
      </c>
      <c r="AA20" s="209"/>
      <c r="AB20" s="244"/>
      <c r="AC20" s="211"/>
      <c r="AD20" s="211"/>
      <c r="AE20" s="211"/>
      <c r="AF20" s="201"/>
    </row>
    <row r="21" spans="1:32" ht="12" customHeight="1">
      <c r="A21" s="62" t="str">
        <f>IF(A20&lt;Application!$D$24,A20+1,"")</f>
        <v/>
      </c>
      <c r="B21" s="245"/>
      <c r="C21" s="245"/>
      <c r="D21" s="244"/>
      <c r="E21" s="245"/>
      <c r="F21" s="213"/>
      <c r="G21" s="209"/>
      <c r="H21" s="247"/>
      <c r="I21" s="245"/>
      <c r="J21" s="245"/>
      <c r="K21" s="209"/>
      <c r="L21" s="209"/>
      <c r="M21" s="211"/>
      <c r="N21" s="209"/>
      <c r="O21" s="244"/>
      <c r="P21" s="212"/>
      <c r="Q2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 s="213"/>
      <c r="S21" s="213"/>
      <c r="T21" s="213"/>
      <c r="U21" s="209"/>
      <c r="V21" s="213"/>
      <c r="W21" s="214"/>
      <c r="X21" s="245"/>
      <c r="Y21" s="244"/>
      <c r="Z21" s="226" t="str">
        <f>IF(Table1[[#This Row],[Bus Type (A,B,C,D)]]="","",IF(Table1[[#This Row],[New Engine Fuel Type or Bus Eliminated:]]="Bus Eliminated","",Table1[[#This Row],[Bus Type (A,B,C,D)]]))</f>
        <v/>
      </c>
      <c r="AA21" s="209"/>
      <c r="AB21" s="244"/>
      <c r="AC21" s="211"/>
      <c r="AD21" s="211"/>
      <c r="AE21" s="211"/>
      <c r="AF21" s="201"/>
    </row>
    <row r="22" spans="1:32" ht="12" customHeight="1">
      <c r="A22" s="62" t="str">
        <f>IF(A21&lt;Application!$D$24,A21+1,"")</f>
        <v/>
      </c>
      <c r="B22" s="245"/>
      <c r="C22" s="245"/>
      <c r="D22" s="244"/>
      <c r="E22" s="245"/>
      <c r="F22" s="213"/>
      <c r="G22" s="209"/>
      <c r="H22" s="247"/>
      <c r="I22" s="245"/>
      <c r="J22" s="245"/>
      <c r="K22" s="209"/>
      <c r="L22" s="209"/>
      <c r="M22" s="211"/>
      <c r="N22" s="209"/>
      <c r="O22" s="244"/>
      <c r="P22" s="212"/>
      <c r="Q2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 s="213"/>
      <c r="S22" s="213"/>
      <c r="T22" s="213"/>
      <c r="U22" s="209"/>
      <c r="V22" s="213"/>
      <c r="W22" s="214"/>
      <c r="X22" s="245"/>
      <c r="Y22" s="244"/>
      <c r="Z22" s="226" t="str">
        <f>IF(Table1[[#This Row],[Bus Type (A,B,C,D)]]="","",IF(Table1[[#This Row],[New Engine Fuel Type or Bus Eliminated:]]="Bus Eliminated","",Table1[[#This Row],[Bus Type (A,B,C,D)]]))</f>
        <v/>
      </c>
      <c r="AA22" s="209"/>
      <c r="AB22" s="244"/>
      <c r="AC22" s="211"/>
      <c r="AD22" s="211"/>
      <c r="AE22" s="211"/>
      <c r="AF22" s="201"/>
    </row>
    <row r="23" spans="1:32" ht="12" customHeight="1">
      <c r="A23" s="62" t="str">
        <f>IF(A22&lt;Application!$D$24,A22+1,"")</f>
        <v/>
      </c>
      <c r="B23" s="245"/>
      <c r="C23" s="244"/>
      <c r="D23" s="244"/>
      <c r="E23" s="244"/>
      <c r="F23" s="213"/>
      <c r="G23" s="209"/>
      <c r="H23" s="244"/>
      <c r="I23" s="244"/>
      <c r="J23" s="244"/>
      <c r="K23" s="209"/>
      <c r="L23" s="209"/>
      <c r="M23" s="211"/>
      <c r="N23" s="209"/>
      <c r="O23" s="244"/>
      <c r="P23" s="210"/>
      <c r="Q2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3" s="213"/>
      <c r="S23" s="213"/>
      <c r="T23" s="213"/>
      <c r="U23" s="209"/>
      <c r="V23" s="213"/>
      <c r="W23" s="214"/>
      <c r="X23" s="245"/>
      <c r="Y23" s="244"/>
      <c r="Z23" s="226" t="str">
        <f>IF(Table1[[#This Row],[Bus Type (A,B,C,D)]]="","",IF(Table1[[#This Row],[New Engine Fuel Type or Bus Eliminated:]]="Bus Eliminated","",Table1[[#This Row],[Bus Type (A,B,C,D)]]))</f>
        <v/>
      </c>
      <c r="AA23" s="209"/>
      <c r="AB23" s="244"/>
      <c r="AC23" s="209"/>
      <c r="AD23" s="209"/>
      <c r="AE23" s="211"/>
      <c r="AF23" s="201"/>
    </row>
    <row r="24" spans="1:32" ht="12" customHeight="1">
      <c r="A24" s="62" t="str">
        <f>IF(A23&lt;Application!$D$24,A23+1,"")</f>
        <v/>
      </c>
      <c r="B24" s="245"/>
      <c r="C24" s="247"/>
      <c r="D24" s="244"/>
      <c r="E24" s="245"/>
      <c r="F24" s="213"/>
      <c r="G24" s="209"/>
      <c r="H24" s="245"/>
      <c r="I24" s="245"/>
      <c r="J24" s="245"/>
      <c r="K24" s="209"/>
      <c r="L24" s="209"/>
      <c r="M24" s="211"/>
      <c r="N24" s="209"/>
      <c r="O24" s="244"/>
      <c r="P24" s="212"/>
      <c r="Q2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4" s="213"/>
      <c r="S24" s="213"/>
      <c r="T24" s="213"/>
      <c r="U24" s="209"/>
      <c r="V24" s="213"/>
      <c r="W24" s="214"/>
      <c r="X24" s="245"/>
      <c r="Y24" s="244"/>
      <c r="Z24" s="226" t="str">
        <f>IF(Table1[[#This Row],[Bus Type (A,B,C,D)]]="","",IF(Table1[[#This Row],[New Engine Fuel Type or Bus Eliminated:]]="Bus Eliminated","",Table1[[#This Row],[Bus Type (A,B,C,D)]]))</f>
        <v/>
      </c>
      <c r="AA24" s="209"/>
      <c r="AB24" s="244"/>
      <c r="AC24" s="211"/>
      <c r="AD24" s="211"/>
      <c r="AE24" s="211"/>
      <c r="AF24" s="201"/>
    </row>
    <row r="25" spans="1:32" ht="12" customHeight="1">
      <c r="A25" s="62" t="str">
        <f>IF(A24&lt;Application!$D$24,A24+1,"")</f>
        <v/>
      </c>
      <c r="B25" s="245"/>
      <c r="C25" s="245"/>
      <c r="D25" s="244"/>
      <c r="E25" s="245"/>
      <c r="F25" s="213"/>
      <c r="G25" s="209"/>
      <c r="H25" s="247"/>
      <c r="I25" s="245"/>
      <c r="J25" s="245"/>
      <c r="K25" s="209"/>
      <c r="L25" s="209"/>
      <c r="M25" s="211"/>
      <c r="N25" s="209"/>
      <c r="O25" s="244"/>
      <c r="P25" s="212"/>
      <c r="Q2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5" s="213"/>
      <c r="S25" s="213"/>
      <c r="T25" s="213"/>
      <c r="U25" s="209"/>
      <c r="V25" s="213"/>
      <c r="W25" s="214"/>
      <c r="X25" s="245"/>
      <c r="Y25" s="244"/>
      <c r="Z25" s="226" t="str">
        <f>IF(Table1[[#This Row],[Bus Type (A,B,C,D)]]="","",IF(Table1[[#This Row],[New Engine Fuel Type or Bus Eliminated:]]="Bus Eliminated","",Table1[[#This Row],[Bus Type (A,B,C,D)]]))</f>
        <v/>
      </c>
      <c r="AA25" s="209"/>
      <c r="AB25" s="244"/>
      <c r="AC25" s="211"/>
      <c r="AD25" s="211"/>
      <c r="AE25" s="211"/>
      <c r="AF25" s="201"/>
    </row>
    <row r="26" spans="1:32" ht="12" customHeight="1">
      <c r="A26" s="62" t="str">
        <f>IF(A25&lt;Application!$D$24,A25+1,"")</f>
        <v/>
      </c>
      <c r="B26" s="245"/>
      <c r="C26" s="245"/>
      <c r="D26" s="244"/>
      <c r="E26" s="245"/>
      <c r="F26" s="213"/>
      <c r="G26" s="209"/>
      <c r="H26" s="247"/>
      <c r="I26" s="245"/>
      <c r="J26" s="245"/>
      <c r="K26" s="209"/>
      <c r="L26" s="209"/>
      <c r="M26" s="211"/>
      <c r="N26" s="209"/>
      <c r="O26" s="244"/>
      <c r="P26" s="212"/>
      <c r="Q2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6" s="213"/>
      <c r="S26" s="213"/>
      <c r="T26" s="213"/>
      <c r="U26" s="209"/>
      <c r="V26" s="213"/>
      <c r="W26" s="214"/>
      <c r="X26" s="245"/>
      <c r="Y26" s="244"/>
      <c r="Z26" s="226" t="str">
        <f>IF(Table1[[#This Row],[Bus Type (A,B,C,D)]]="","",IF(Table1[[#This Row],[New Engine Fuel Type or Bus Eliminated:]]="Bus Eliminated","",Table1[[#This Row],[Bus Type (A,B,C,D)]]))</f>
        <v/>
      </c>
      <c r="AA26" s="209"/>
      <c r="AB26" s="244"/>
      <c r="AC26" s="211"/>
      <c r="AD26" s="211"/>
      <c r="AE26" s="211"/>
      <c r="AF26" s="201"/>
    </row>
    <row r="27" spans="1:32" ht="12" customHeight="1">
      <c r="A27" s="62" t="str">
        <f>IF(A26&lt;Application!$D$24,A26+1,"")</f>
        <v/>
      </c>
      <c r="B27" s="245"/>
      <c r="C27" s="245"/>
      <c r="D27" s="244"/>
      <c r="E27" s="245"/>
      <c r="F27" s="213"/>
      <c r="G27" s="209"/>
      <c r="H27" s="247"/>
      <c r="I27" s="245"/>
      <c r="J27" s="245"/>
      <c r="K27" s="209"/>
      <c r="L27" s="209"/>
      <c r="M27" s="211"/>
      <c r="N27" s="209"/>
      <c r="O27" s="244"/>
      <c r="P27" s="212"/>
      <c r="Q2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7" s="213"/>
      <c r="S27" s="213"/>
      <c r="T27" s="213"/>
      <c r="U27" s="209"/>
      <c r="V27" s="213"/>
      <c r="W27" s="214"/>
      <c r="X27" s="245"/>
      <c r="Y27" s="244"/>
      <c r="Z27" s="226" t="str">
        <f>IF(Table1[[#This Row],[Bus Type (A,B,C,D)]]="","",IF(Table1[[#This Row],[New Engine Fuel Type or Bus Eliminated:]]="Bus Eliminated","",Table1[[#This Row],[Bus Type (A,B,C,D)]]))</f>
        <v/>
      </c>
      <c r="AA27" s="209"/>
      <c r="AB27" s="244"/>
      <c r="AC27" s="211"/>
      <c r="AD27" s="211"/>
      <c r="AE27" s="211"/>
      <c r="AF27" s="201"/>
    </row>
    <row r="28" spans="1:32" ht="12" customHeight="1">
      <c r="A28" s="62" t="str">
        <f>IF(A27&lt;Application!$D$24,A27+1,"")</f>
        <v/>
      </c>
      <c r="B28" s="245"/>
      <c r="C28" s="244"/>
      <c r="D28" s="244"/>
      <c r="E28" s="244"/>
      <c r="F28" s="213"/>
      <c r="G28" s="209"/>
      <c r="H28" s="244"/>
      <c r="I28" s="244"/>
      <c r="J28" s="244"/>
      <c r="K28" s="209"/>
      <c r="L28" s="209"/>
      <c r="M28" s="211"/>
      <c r="N28" s="209"/>
      <c r="O28" s="244"/>
      <c r="P28" s="210"/>
      <c r="Q2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8" s="213"/>
      <c r="S28" s="213"/>
      <c r="T28" s="213"/>
      <c r="U28" s="209"/>
      <c r="V28" s="213"/>
      <c r="W28" s="214"/>
      <c r="X28" s="245"/>
      <c r="Y28" s="244"/>
      <c r="Z28" s="226" t="str">
        <f>IF(Table1[[#This Row],[Bus Type (A,B,C,D)]]="","",IF(Table1[[#This Row],[New Engine Fuel Type or Bus Eliminated:]]="Bus Eliminated","",Table1[[#This Row],[Bus Type (A,B,C,D)]]))</f>
        <v/>
      </c>
      <c r="AA28" s="209"/>
      <c r="AB28" s="244"/>
      <c r="AC28" s="209"/>
      <c r="AD28" s="209"/>
      <c r="AE28" s="211"/>
      <c r="AF28" s="201"/>
    </row>
    <row r="29" spans="1:32" ht="12" customHeight="1">
      <c r="A29" s="62" t="str">
        <f>IF(A28&lt;Application!$D$24,A28+1,"")</f>
        <v/>
      </c>
      <c r="B29" s="245"/>
      <c r="C29" s="247"/>
      <c r="D29" s="244"/>
      <c r="E29" s="245"/>
      <c r="F29" s="213"/>
      <c r="G29" s="209"/>
      <c r="H29" s="245"/>
      <c r="I29" s="245"/>
      <c r="J29" s="245"/>
      <c r="K29" s="209"/>
      <c r="L29" s="209"/>
      <c r="M29" s="211"/>
      <c r="N29" s="209"/>
      <c r="O29" s="244"/>
      <c r="P29" s="212"/>
      <c r="Q2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9" s="213"/>
      <c r="S29" s="213"/>
      <c r="T29" s="213"/>
      <c r="U29" s="209"/>
      <c r="V29" s="213"/>
      <c r="W29" s="214"/>
      <c r="X29" s="245"/>
      <c r="Y29" s="244"/>
      <c r="Z29" s="226" t="str">
        <f>IF(Table1[[#This Row],[Bus Type (A,B,C,D)]]="","",IF(Table1[[#This Row],[New Engine Fuel Type or Bus Eliminated:]]="Bus Eliminated","",Table1[[#This Row],[Bus Type (A,B,C,D)]]))</f>
        <v/>
      </c>
      <c r="AA29" s="209"/>
      <c r="AB29" s="244"/>
      <c r="AC29" s="211"/>
      <c r="AD29" s="211"/>
      <c r="AE29" s="211"/>
      <c r="AF29" s="201"/>
    </row>
    <row r="30" spans="1:32" ht="12" customHeight="1">
      <c r="A30" s="62" t="str">
        <f>IF(A29&lt;Application!$D$24,A29+1,"")</f>
        <v/>
      </c>
      <c r="B30" s="245"/>
      <c r="C30" s="245"/>
      <c r="D30" s="244"/>
      <c r="E30" s="245"/>
      <c r="F30" s="213"/>
      <c r="G30" s="209"/>
      <c r="H30" s="247"/>
      <c r="I30" s="245"/>
      <c r="J30" s="245"/>
      <c r="K30" s="209"/>
      <c r="L30" s="209"/>
      <c r="M30" s="211"/>
      <c r="N30" s="209"/>
      <c r="O30" s="244"/>
      <c r="P30" s="212"/>
      <c r="Q3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0" s="213"/>
      <c r="S30" s="213"/>
      <c r="T30" s="213"/>
      <c r="U30" s="209"/>
      <c r="V30" s="213"/>
      <c r="W30" s="214"/>
      <c r="X30" s="245"/>
      <c r="Y30" s="244"/>
      <c r="Z30" s="226" t="str">
        <f>IF(Table1[[#This Row],[Bus Type (A,B,C,D)]]="","",IF(Table1[[#This Row],[New Engine Fuel Type or Bus Eliminated:]]="Bus Eliminated","",Table1[[#This Row],[Bus Type (A,B,C,D)]]))</f>
        <v/>
      </c>
      <c r="AA30" s="209"/>
      <c r="AB30" s="244"/>
      <c r="AC30" s="211"/>
      <c r="AD30" s="211"/>
      <c r="AE30" s="211"/>
      <c r="AF30" s="201"/>
    </row>
    <row r="31" spans="1:32" ht="12" customHeight="1">
      <c r="A31" s="62" t="str">
        <f>IF(A30&lt;Application!$D$24,A30+1,"")</f>
        <v/>
      </c>
      <c r="B31" s="245"/>
      <c r="C31" s="245"/>
      <c r="D31" s="244"/>
      <c r="E31" s="245"/>
      <c r="F31" s="213"/>
      <c r="G31" s="209"/>
      <c r="H31" s="247"/>
      <c r="I31" s="245"/>
      <c r="J31" s="245"/>
      <c r="K31" s="209"/>
      <c r="L31" s="209"/>
      <c r="M31" s="211"/>
      <c r="N31" s="209"/>
      <c r="O31" s="244"/>
      <c r="P31" s="212"/>
      <c r="Q3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1" s="213"/>
      <c r="S31" s="213"/>
      <c r="T31" s="213"/>
      <c r="U31" s="209"/>
      <c r="V31" s="213"/>
      <c r="W31" s="214"/>
      <c r="X31" s="245"/>
      <c r="Y31" s="244"/>
      <c r="Z31" s="226" t="str">
        <f>IF(Table1[[#This Row],[Bus Type (A,B,C,D)]]="","",IF(Table1[[#This Row],[New Engine Fuel Type or Bus Eliminated:]]="Bus Eliminated","",Table1[[#This Row],[Bus Type (A,B,C,D)]]))</f>
        <v/>
      </c>
      <c r="AA31" s="209"/>
      <c r="AB31" s="244"/>
      <c r="AC31" s="211"/>
      <c r="AD31" s="211"/>
      <c r="AE31" s="211"/>
      <c r="AF31" s="201"/>
    </row>
    <row r="32" spans="1:32" ht="12" customHeight="1">
      <c r="A32" s="62" t="str">
        <f>IF(A31&lt;Application!$D$24,A31+1,"")</f>
        <v/>
      </c>
      <c r="B32" s="245"/>
      <c r="C32" s="245"/>
      <c r="D32" s="244"/>
      <c r="E32" s="245"/>
      <c r="F32" s="213"/>
      <c r="G32" s="209"/>
      <c r="H32" s="247"/>
      <c r="I32" s="245"/>
      <c r="J32" s="245"/>
      <c r="K32" s="209"/>
      <c r="L32" s="209"/>
      <c r="M32" s="211"/>
      <c r="N32" s="209"/>
      <c r="O32" s="244"/>
      <c r="P32" s="212"/>
      <c r="Q3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2" s="213"/>
      <c r="S32" s="213"/>
      <c r="T32" s="213"/>
      <c r="U32" s="209"/>
      <c r="V32" s="213"/>
      <c r="W32" s="214"/>
      <c r="X32" s="245"/>
      <c r="Y32" s="244"/>
      <c r="Z32" s="226" t="str">
        <f>IF(Table1[[#This Row],[Bus Type (A,B,C,D)]]="","",IF(Table1[[#This Row],[New Engine Fuel Type or Bus Eliminated:]]="Bus Eliminated","",Table1[[#This Row],[Bus Type (A,B,C,D)]]))</f>
        <v/>
      </c>
      <c r="AA32" s="209"/>
      <c r="AB32" s="244"/>
      <c r="AC32" s="211"/>
      <c r="AD32" s="211"/>
      <c r="AE32" s="211"/>
      <c r="AF32" s="201"/>
    </row>
    <row r="33" spans="1:32" ht="12" customHeight="1">
      <c r="A33" s="62" t="str">
        <f>IF(A32&lt;Application!$D$24,A32+1,"")</f>
        <v/>
      </c>
      <c r="B33" s="245"/>
      <c r="C33" s="245"/>
      <c r="D33" s="244"/>
      <c r="E33" s="245"/>
      <c r="F33" s="213"/>
      <c r="G33" s="209"/>
      <c r="H33" s="247"/>
      <c r="I33" s="245"/>
      <c r="J33" s="245"/>
      <c r="K33" s="209"/>
      <c r="L33" s="209"/>
      <c r="M33" s="211"/>
      <c r="N33" s="209"/>
      <c r="O33" s="244"/>
      <c r="P33" s="212"/>
      <c r="Q3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3" s="213"/>
      <c r="S33" s="213"/>
      <c r="T33" s="213"/>
      <c r="U33" s="209"/>
      <c r="V33" s="213"/>
      <c r="W33" s="214"/>
      <c r="X33" s="245"/>
      <c r="Y33" s="244"/>
      <c r="Z33" s="226" t="str">
        <f>IF(Table1[[#This Row],[Bus Type (A,B,C,D)]]="","",IF(Table1[[#This Row],[New Engine Fuel Type or Bus Eliminated:]]="Bus Eliminated","",Table1[[#This Row],[Bus Type (A,B,C,D)]]))</f>
        <v/>
      </c>
      <c r="AA33" s="209"/>
      <c r="AB33" s="244"/>
      <c r="AC33" s="209"/>
      <c r="AD33" s="209"/>
      <c r="AE33" s="211"/>
      <c r="AF33" s="201"/>
    </row>
    <row r="34" spans="1:32" ht="12" customHeight="1">
      <c r="A34" s="62" t="str">
        <f>IF(A33&lt;Application!$D$24,A33+1,"")</f>
        <v/>
      </c>
      <c r="B34" s="245"/>
      <c r="C34" s="247"/>
      <c r="D34" s="244"/>
      <c r="E34" s="245"/>
      <c r="F34" s="213"/>
      <c r="G34" s="209"/>
      <c r="H34" s="245"/>
      <c r="I34" s="245"/>
      <c r="J34" s="245"/>
      <c r="K34" s="209"/>
      <c r="L34" s="209"/>
      <c r="M34" s="211"/>
      <c r="N34" s="209"/>
      <c r="O34" s="244"/>
      <c r="P34" s="212"/>
      <c r="Q3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4" s="213"/>
      <c r="S34" s="213"/>
      <c r="T34" s="213"/>
      <c r="U34" s="209"/>
      <c r="V34" s="213"/>
      <c r="W34" s="214"/>
      <c r="X34" s="245"/>
      <c r="Y34" s="244"/>
      <c r="Z34" s="226" t="str">
        <f>IF(Table1[[#This Row],[Bus Type (A,B,C,D)]]="","",IF(Table1[[#This Row],[New Engine Fuel Type or Bus Eliminated:]]="Bus Eliminated","",Table1[[#This Row],[Bus Type (A,B,C,D)]]))</f>
        <v/>
      </c>
      <c r="AA34" s="209"/>
      <c r="AB34" s="244"/>
      <c r="AC34" s="211"/>
      <c r="AD34" s="211"/>
      <c r="AE34" s="211"/>
      <c r="AF34" s="201"/>
    </row>
    <row r="35" spans="1:32" ht="12" customHeight="1">
      <c r="A35" s="62" t="str">
        <f>IF(A34&lt;Application!$D$24,A34+1,"")</f>
        <v/>
      </c>
      <c r="B35" s="245"/>
      <c r="C35" s="245"/>
      <c r="D35" s="244"/>
      <c r="E35" s="245"/>
      <c r="F35" s="213"/>
      <c r="G35" s="209"/>
      <c r="H35" s="247"/>
      <c r="I35" s="245"/>
      <c r="J35" s="245"/>
      <c r="K35" s="209"/>
      <c r="L35" s="209"/>
      <c r="M35" s="211"/>
      <c r="N35" s="209"/>
      <c r="O35" s="244"/>
      <c r="P35" s="212"/>
      <c r="Q3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5" s="213"/>
      <c r="S35" s="213"/>
      <c r="T35" s="213"/>
      <c r="U35" s="209"/>
      <c r="V35" s="213"/>
      <c r="W35" s="214"/>
      <c r="X35" s="245"/>
      <c r="Y35" s="244"/>
      <c r="Z35" s="226" t="str">
        <f>IF(Table1[[#This Row],[Bus Type (A,B,C,D)]]="","",IF(Table1[[#This Row],[New Engine Fuel Type or Bus Eliminated:]]="Bus Eliminated","",Table1[[#This Row],[Bus Type (A,B,C,D)]]))</f>
        <v/>
      </c>
      <c r="AA35" s="209"/>
      <c r="AB35" s="244"/>
      <c r="AC35" s="211"/>
      <c r="AD35" s="211"/>
      <c r="AE35" s="211"/>
      <c r="AF35" s="201"/>
    </row>
    <row r="36" spans="1:32" ht="12" customHeight="1">
      <c r="A36" s="62" t="str">
        <f>IF(A35&lt;Application!$D$24,A35+1,"")</f>
        <v/>
      </c>
      <c r="B36" s="245"/>
      <c r="C36" s="245"/>
      <c r="D36" s="244"/>
      <c r="E36" s="245"/>
      <c r="F36" s="213"/>
      <c r="G36" s="209"/>
      <c r="H36" s="247"/>
      <c r="I36" s="245"/>
      <c r="J36" s="245"/>
      <c r="K36" s="209"/>
      <c r="L36" s="209"/>
      <c r="M36" s="211"/>
      <c r="N36" s="209"/>
      <c r="O36" s="244"/>
      <c r="P36" s="212"/>
      <c r="Q3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6" s="213"/>
      <c r="S36" s="213"/>
      <c r="T36" s="213"/>
      <c r="U36" s="209"/>
      <c r="V36" s="213"/>
      <c r="W36" s="214"/>
      <c r="X36" s="245"/>
      <c r="Y36" s="244"/>
      <c r="Z36" s="226" t="str">
        <f>IF(Table1[[#This Row],[Bus Type (A,B,C,D)]]="","",IF(Table1[[#This Row],[New Engine Fuel Type or Bus Eliminated:]]="Bus Eliminated","",Table1[[#This Row],[Bus Type (A,B,C,D)]]))</f>
        <v/>
      </c>
      <c r="AA36" s="209"/>
      <c r="AB36" s="244"/>
      <c r="AC36" s="211"/>
      <c r="AD36" s="211"/>
      <c r="AE36" s="211"/>
      <c r="AF36" s="201"/>
    </row>
    <row r="37" spans="1:32" ht="12" customHeight="1">
      <c r="A37" s="62" t="str">
        <f>IF(A36&lt;Application!$D$24,A36+1,"")</f>
        <v/>
      </c>
      <c r="B37" s="245"/>
      <c r="C37" s="245"/>
      <c r="D37" s="244"/>
      <c r="E37" s="245"/>
      <c r="F37" s="213"/>
      <c r="G37" s="209"/>
      <c r="H37" s="247"/>
      <c r="I37" s="245"/>
      <c r="J37" s="245"/>
      <c r="K37" s="209"/>
      <c r="L37" s="209"/>
      <c r="M37" s="211"/>
      <c r="N37" s="209"/>
      <c r="O37" s="244"/>
      <c r="P37" s="212"/>
      <c r="Q3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7" s="213"/>
      <c r="S37" s="213"/>
      <c r="T37" s="213"/>
      <c r="U37" s="209"/>
      <c r="V37" s="213"/>
      <c r="W37" s="214"/>
      <c r="X37" s="245"/>
      <c r="Y37" s="244"/>
      <c r="Z37" s="226" t="str">
        <f>IF(Table1[[#This Row],[Bus Type (A,B,C,D)]]="","",IF(Table1[[#This Row],[New Engine Fuel Type or Bus Eliminated:]]="Bus Eliminated","",Table1[[#This Row],[Bus Type (A,B,C,D)]]))</f>
        <v/>
      </c>
      <c r="AA37" s="209"/>
      <c r="AB37" s="244"/>
      <c r="AC37" s="211"/>
      <c r="AD37" s="211"/>
      <c r="AE37" s="211"/>
      <c r="AF37" s="201"/>
    </row>
    <row r="38" spans="1:32" ht="12" customHeight="1">
      <c r="A38" s="62" t="str">
        <f>IF(A37&lt;Application!$D$24,A37+1,"")</f>
        <v/>
      </c>
      <c r="B38" s="245"/>
      <c r="C38" s="244"/>
      <c r="D38" s="244"/>
      <c r="E38" s="244"/>
      <c r="F38" s="213"/>
      <c r="G38" s="209"/>
      <c r="H38" s="244"/>
      <c r="I38" s="244"/>
      <c r="J38" s="244"/>
      <c r="K38" s="209"/>
      <c r="L38" s="209"/>
      <c r="M38" s="211"/>
      <c r="N38" s="209"/>
      <c r="O38" s="244"/>
      <c r="P38" s="210"/>
      <c r="Q3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8" s="213"/>
      <c r="S38" s="213"/>
      <c r="T38" s="213"/>
      <c r="U38" s="209"/>
      <c r="V38" s="213"/>
      <c r="W38" s="214"/>
      <c r="X38" s="245"/>
      <c r="Y38" s="244"/>
      <c r="Z38" s="226" t="str">
        <f>IF(Table1[[#This Row],[Bus Type (A,B,C,D)]]="","",IF(Table1[[#This Row],[New Engine Fuel Type or Bus Eliminated:]]="Bus Eliminated","",Table1[[#This Row],[Bus Type (A,B,C,D)]]))</f>
        <v/>
      </c>
      <c r="AA38" s="209"/>
      <c r="AB38" s="244"/>
      <c r="AC38" s="209"/>
      <c r="AD38" s="209"/>
      <c r="AE38" s="211"/>
      <c r="AF38" s="201"/>
    </row>
    <row r="39" spans="1:32" ht="12" customHeight="1">
      <c r="A39" s="62" t="str">
        <f>IF(A38&lt;Application!$D$24,A38+1,"")</f>
        <v/>
      </c>
      <c r="B39" s="245"/>
      <c r="C39" s="247"/>
      <c r="D39" s="244"/>
      <c r="E39" s="245"/>
      <c r="F39" s="213"/>
      <c r="G39" s="209"/>
      <c r="H39" s="245"/>
      <c r="I39" s="245"/>
      <c r="J39" s="245"/>
      <c r="K39" s="209"/>
      <c r="L39" s="209"/>
      <c r="M39" s="211"/>
      <c r="N39" s="209"/>
      <c r="O39" s="244"/>
      <c r="P39" s="212"/>
      <c r="Q3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9" s="213"/>
      <c r="S39" s="213"/>
      <c r="T39" s="213"/>
      <c r="U39" s="209"/>
      <c r="V39" s="213"/>
      <c r="W39" s="214"/>
      <c r="X39" s="245"/>
      <c r="Y39" s="244"/>
      <c r="Z39" s="226" t="str">
        <f>IF(Table1[[#This Row],[Bus Type (A,B,C,D)]]="","",IF(Table1[[#This Row],[New Engine Fuel Type or Bus Eliminated:]]="Bus Eliminated","",Table1[[#This Row],[Bus Type (A,B,C,D)]]))</f>
        <v/>
      </c>
      <c r="AA39" s="209"/>
      <c r="AB39" s="244"/>
      <c r="AC39" s="211"/>
      <c r="AD39" s="211"/>
      <c r="AE39" s="211"/>
      <c r="AF39" s="201"/>
    </row>
    <row r="40" spans="1:32" ht="12" customHeight="1">
      <c r="A40" s="62" t="str">
        <f>IF(A39&lt;Application!$D$24,A39+1,"")</f>
        <v/>
      </c>
      <c r="B40" s="245"/>
      <c r="C40" s="245"/>
      <c r="D40" s="244"/>
      <c r="E40" s="245"/>
      <c r="F40" s="213"/>
      <c r="G40" s="209"/>
      <c r="H40" s="247"/>
      <c r="I40" s="245"/>
      <c r="J40" s="245"/>
      <c r="K40" s="209"/>
      <c r="L40" s="209"/>
      <c r="M40" s="211"/>
      <c r="N40" s="209"/>
      <c r="O40" s="244"/>
      <c r="P40" s="212"/>
      <c r="Q4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0" s="213"/>
      <c r="S40" s="213"/>
      <c r="T40" s="213"/>
      <c r="U40" s="209"/>
      <c r="V40" s="213"/>
      <c r="W40" s="214"/>
      <c r="X40" s="245"/>
      <c r="Y40" s="244"/>
      <c r="Z40" s="226" t="str">
        <f>IF(Table1[[#This Row],[Bus Type (A,B,C,D)]]="","",IF(Table1[[#This Row],[New Engine Fuel Type or Bus Eliminated:]]="Bus Eliminated","",Table1[[#This Row],[Bus Type (A,B,C,D)]]))</f>
        <v/>
      </c>
      <c r="AA40" s="209"/>
      <c r="AB40" s="244"/>
      <c r="AC40" s="211"/>
      <c r="AD40" s="211"/>
      <c r="AE40" s="211"/>
      <c r="AF40" s="201"/>
    </row>
    <row r="41" spans="1:32" ht="12" customHeight="1">
      <c r="A41" s="62" t="str">
        <f>IF(A40&lt;Application!$D$24,A40+1,"")</f>
        <v/>
      </c>
      <c r="B41" s="245"/>
      <c r="C41" s="245"/>
      <c r="D41" s="244"/>
      <c r="E41" s="245"/>
      <c r="F41" s="213"/>
      <c r="G41" s="209"/>
      <c r="H41" s="247"/>
      <c r="I41" s="245"/>
      <c r="J41" s="245"/>
      <c r="K41" s="209"/>
      <c r="L41" s="209"/>
      <c r="M41" s="211"/>
      <c r="N41" s="209"/>
      <c r="O41" s="244"/>
      <c r="P41" s="212"/>
      <c r="Q4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1" s="213"/>
      <c r="S41" s="213"/>
      <c r="T41" s="213"/>
      <c r="U41" s="209"/>
      <c r="V41" s="213"/>
      <c r="W41" s="214"/>
      <c r="X41" s="245"/>
      <c r="Y41" s="244"/>
      <c r="Z41" s="226" t="str">
        <f>IF(Table1[[#This Row],[Bus Type (A,B,C,D)]]="","",IF(Table1[[#This Row],[New Engine Fuel Type or Bus Eliminated:]]="Bus Eliminated","",Table1[[#This Row],[Bus Type (A,B,C,D)]]))</f>
        <v/>
      </c>
      <c r="AA41" s="209"/>
      <c r="AB41" s="244"/>
      <c r="AC41" s="211"/>
      <c r="AD41" s="211"/>
      <c r="AE41" s="211"/>
      <c r="AF41" s="201"/>
    </row>
    <row r="42" spans="1:32" ht="12" customHeight="1">
      <c r="A42" s="62" t="str">
        <f>IF(A41&lt;Application!$D$24,A41+1,"")</f>
        <v/>
      </c>
      <c r="B42" s="245"/>
      <c r="C42" s="245"/>
      <c r="D42" s="244"/>
      <c r="E42" s="245"/>
      <c r="F42" s="213"/>
      <c r="G42" s="209"/>
      <c r="H42" s="247"/>
      <c r="I42" s="245"/>
      <c r="J42" s="245"/>
      <c r="K42" s="209"/>
      <c r="L42" s="209"/>
      <c r="M42" s="211"/>
      <c r="N42" s="209"/>
      <c r="O42" s="244"/>
      <c r="P42" s="212"/>
      <c r="Q4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2" s="213"/>
      <c r="S42" s="213"/>
      <c r="T42" s="213"/>
      <c r="U42" s="209"/>
      <c r="V42" s="213"/>
      <c r="W42" s="214"/>
      <c r="X42" s="245"/>
      <c r="Y42" s="244"/>
      <c r="Z42" s="226" t="str">
        <f>IF(Table1[[#This Row],[Bus Type (A,B,C,D)]]="","",IF(Table1[[#This Row],[New Engine Fuel Type or Bus Eliminated:]]="Bus Eliminated","",Table1[[#This Row],[Bus Type (A,B,C,D)]]))</f>
        <v/>
      </c>
      <c r="AA42" s="209"/>
      <c r="AB42" s="244"/>
      <c r="AC42" s="211"/>
      <c r="AD42" s="211"/>
      <c r="AE42" s="211"/>
      <c r="AF42" s="201"/>
    </row>
    <row r="43" spans="1:32" ht="12" customHeight="1">
      <c r="A43" s="62" t="str">
        <f>IF(A42&lt;Application!$D$24,A42+1,"")</f>
        <v/>
      </c>
      <c r="B43" s="245"/>
      <c r="C43" s="244"/>
      <c r="D43" s="244"/>
      <c r="E43" s="244"/>
      <c r="F43" s="213"/>
      <c r="G43" s="209"/>
      <c r="H43" s="244"/>
      <c r="I43" s="244"/>
      <c r="J43" s="244"/>
      <c r="K43" s="209"/>
      <c r="L43" s="209"/>
      <c r="M43" s="211"/>
      <c r="N43" s="209"/>
      <c r="O43" s="244"/>
      <c r="P43" s="210"/>
      <c r="Q4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3" s="213"/>
      <c r="S43" s="213"/>
      <c r="T43" s="213"/>
      <c r="U43" s="209"/>
      <c r="V43" s="213"/>
      <c r="W43" s="214"/>
      <c r="X43" s="245"/>
      <c r="Y43" s="244"/>
      <c r="Z43" s="226" t="str">
        <f>IF(Table1[[#This Row],[Bus Type (A,B,C,D)]]="","",IF(Table1[[#This Row],[New Engine Fuel Type or Bus Eliminated:]]="Bus Eliminated","",Table1[[#This Row],[Bus Type (A,B,C,D)]]))</f>
        <v/>
      </c>
      <c r="AA43" s="209"/>
      <c r="AB43" s="244"/>
      <c r="AC43" s="209"/>
      <c r="AD43" s="209"/>
      <c r="AE43" s="211"/>
      <c r="AF43" s="201"/>
    </row>
    <row r="44" spans="1:32" ht="12" customHeight="1">
      <c r="A44" s="62" t="str">
        <f>IF(A43&lt;Application!$D$24,A43+1,"")</f>
        <v/>
      </c>
      <c r="B44" s="245"/>
      <c r="C44" s="247"/>
      <c r="D44" s="244"/>
      <c r="E44" s="245"/>
      <c r="F44" s="213"/>
      <c r="G44" s="209"/>
      <c r="H44" s="245"/>
      <c r="I44" s="245"/>
      <c r="J44" s="245"/>
      <c r="K44" s="209"/>
      <c r="L44" s="209"/>
      <c r="M44" s="211"/>
      <c r="N44" s="209"/>
      <c r="O44" s="244"/>
      <c r="P44" s="212"/>
      <c r="Q4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4" s="213"/>
      <c r="S44" s="213"/>
      <c r="T44" s="213"/>
      <c r="U44" s="209"/>
      <c r="V44" s="213"/>
      <c r="W44" s="214"/>
      <c r="X44" s="245"/>
      <c r="Y44" s="244"/>
      <c r="Z44" s="226" t="str">
        <f>IF(Table1[[#This Row],[Bus Type (A,B,C,D)]]="","",IF(Table1[[#This Row],[New Engine Fuel Type or Bus Eliminated:]]="Bus Eliminated","",Table1[[#This Row],[Bus Type (A,B,C,D)]]))</f>
        <v/>
      </c>
      <c r="AA44" s="209"/>
      <c r="AB44" s="244"/>
      <c r="AC44" s="211"/>
      <c r="AD44" s="211"/>
      <c r="AE44" s="211"/>
      <c r="AF44" s="201"/>
    </row>
    <row r="45" spans="1:32" ht="12" customHeight="1">
      <c r="A45" s="62" t="str">
        <f>IF(A44&lt;Application!$D$24,A44+1,"")</f>
        <v/>
      </c>
      <c r="B45" s="245"/>
      <c r="C45" s="245"/>
      <c r="D45" s="244"/>
      <c r="E45" s="245"/>
      <c r="F45" s="213"/>
      <c r="G45" s="209"/>
      <c r="H45" s="247"/>
      <c r="I45" s="245"/>
      <c r="J45" s="245"/>
      <c r="K45" s="209"/>
      <c r="L45" s="209"/>
      <c r="M45" s="211"/>
      <c r="N45" s="209"/>
      <c r="O45" s="244"/>
      <c r="P45" s="212"/>
      <c r="Q4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5" s="213"/>
      <c r="S45" s="213"/>
      <c r="T45" s="213"/>
      <c r="U45" s="209"/>
      <c r="V45" s="213"/>
      <c r="W45" s="214"/>
      <c r="X45" s="245"/>
      <c r="Y45" s="244"/>
      <c r="Z45" s="226" t="str">
        <f>IF(Table1[[#This Row],[Bus Type (A,B,C,D)]]="","",IF(Table1[[#This Row],[New Engine Fuel Type or Bus Eliminated:]]="Bus Eliminated","",Table1[[#This Row],[Bus Type (A,B,C,D)]]))</f>
        <v/>
      </c>
      <c r="AA45" s="209"/>
      <c r="AB45" s="244"/>
      <c r="AC45" s="211"/>
      <c r="AD45" s="211"/>
      <c r="AE45" s="211"/>
      <c r="AF45" s="201"/>
    </row>
    <row r="46" spans="1:32" ht="12" customHeight="1">
      <c r="A46" s="62" t="str">
        <f>IF(A45&lt;Application!$D$24,A45+1,"")</f>
        <v/>
      </c>
      <c r="B46" s="245"/>
      <c r="C46" s="245"/>
      <c r="D46" s="244"/>
      <c r="E46" s="245"/>
      <c r="F46" s="213"/>
      <c r="G46" s="209"/>
      <c r="H46" s="247"/>
      <c r="I46" s="245"/>
      <c r="J46" s="245"/>
      <c r="K46" s="209"/>
      <c r="L46" s="209"/>
      <c r="M46" s="211"/>
      <c r="N46" s="209"/>
      <c r="O46" s="244"/>
      <c r="P46" s="212"/>
      <c r="Q4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6" s="213"/>
      <c r="S46" s="213"/>
      <c r="T46" s="213"/>
      <c r="U46" s="209"/>
      <c r="V46" s="213"/>
      <c r="W46" s="214"/>
      <c r="X46" s="245"/>
      <c r="Y46" s="244"/>
      <c r="Z46" s="226" t="str">
        <f>IF(Table1[[#This Row],[Bus Type (A,B,C,D)]]="","",IF(Table1[[#This Row],[New Engine Fuel Type or Bus Eliminated:]]="Bus Eliminated","",Table1[[#This Row],[Bus Type (A,B,C,D)]]))</f>
        <v/>
      </c>
      <c r="AA46" s="209"/>
      <c r="AB46" s="244"/>
      <c r="AC46" s="211"/>
      <c r="AD46" s="211"/>
      <c r="AE46" s="211"/>
      <c r="AF46" s="201"/>
    </row>
    <row r="47" spans="1:32" ht="12" customHeight="1">
      <c r="A47" s="62" t="str">
        <f>IF(A46&lt;Application!$D$24,A46+1,"")</f>
        <v/>
      </c>
      <c r="B47" s="245"/>
      <c r="C47" s="245"/>
      <c r="D47" s="244"/>
      <c r="E47" s="245"/>
      <c r="F47" s="213"/>
      <c r="G47" s="209"/>
      <c r="H47" s="247"/>
      <c r="I47" s="245"/>
      <c r="J47" s="245"/>
      <c r="K47" s="209"/>
      <c r="L47" s="209"/>
      <c r="M47" s="211"/>
      <c r="N47" s="209"/>
      <c r="O47" s="244"/>
      <c r="P47" s="212"/>
      <c r="Q4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7" s="213"/>
      <c r="S47" s="213"/>
      <c r="T47" s="213"/>
      <c r="U47" s="209"/>
      <c r="V47" s="213"/>
      <c r="W47" s="214"/>
      <c r="X47" s="245"/>
      <c r="Y47" s="244"/>
      <c r="Z47" s="226" t="str">
        <f>IF(Table1[[#This Row],[Bus Type (A,B,C,D)]]="","",IF(Table1[[#This Row],[New Engine Fuel Type or Bus Eliminated:]]="Bus Eliminated","",Table1[[#This Row],[Bus Type (A,B,C,D)]]))</f>
        <v/>
      </c>
      <c r="AA47" s="209"/>
      <c r="AB47" s="244"/>
      <c r="AC47" s="211"/>
      <c r="AD47" s="211"/>
      <c r="AE47" s="211"/>
      <c r="AF47" s="201"/>
    </row>
    <row r="48" spans="1:32" ht="12" customHeight="1">
      <c r="A48" s="62" t="str">
        <f>IF(A47&lt;Application!$D$24,A47+1,"")</f>
        <v/>
      </c>
      <c r="B48" s="245"/>
      <c r="C48" s="245"/>
      <c r="D48" s="244"/>
      <c r="E48" s="245"/>
      <c r="F48" s="213"/>
      <c r="G48" s="209"/>
      <c r="H48" s="247"/>
      <c r="I48" s="245"/>
      <c r="J48" s="245"/>
      <c r="K48" s="209"/>
      <c r="L48" s="209"/>
      <c r="M48" s="211"/>
      <c r="N48" s="209"/>
      <c r="O48" s="244"/>
      <c r="P48" s="212"/>
      <c r="Q4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8" s="213"/>
      <c r="S48" s="213"/>
      <c r="T48" s="213"/>
      <c r="U48" s="209"/>
      <c r="V48" s="213"/>
      <c r="W48" s="214"/>
      <c r="X48" s="245"/>
      <c r="Y48" s="244"/>
      <c r="Z48" s="226" t="str">
        <f>IF(Table1[[#This Row],[Bus Type (A,B,C,D)]]="","",IF(Table1[[#This Row],[New Engine Fuel Type or Bus Eliminated:]]="Bus Eliminated","",Table1[[#This Row],[Bus Type (A,B,C,D)]]))</f>
        <v/>
      </c>
      <c r="AA48" s="209"/>
      <c r="AB48" s="244"/>
      <c r="AC48" s="211"/>
      <c r="AD48" s="211"/>
      <c r="AE48" s="211"/>
      <c r="AF48" s="201"/>
    </row>
    <row r="49" spans="1:32" ht="12" customHeight="1">
      <c r="A49" s="62" t="str">
        <f>IF(A48&lt;Application!$D$24,A48+1,"")</f>
        <v/>
      </c>
      <c r="B49" s="245"/>
      <c r="C49" s="245"/>
      <c r="D49" s="244"/>
      <c r="E49" s="245"/>
      <c r="F49" s="213"/>
      <c r="G49" s="209"/>
      <c r="H49" s="247"/>
      <c r="I49" s="245"/>
      <c r="J49" s="245"/>
      <c r="K49" s="209"/>
      <c r="L49" s="209"/>
      <c r="M49" s="211"/>
      <c r="N49" s="209"/>
      <c r="O49" s="244"/>
      <c r="P49" s="212"/>
      <c r="Q4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9" s="213"/>
      <c r="S49" s="213"/>
      <c r="T49" s="213"/>
      <c r="U49" s="209"/>
      <c r="V49" s="213"/>
      <c r="W49" s="214"/>
      <c r="X49" s="245"/>
      <c r="Y49" s="244"/>
      <c r="Z49" s="226" t="str">
        <f>IF(Table1[[#This Row],[Bus Type (A,B,C,D)]]="","",IF(Table1[[#This Row],[New Engine Fuel Type or Bus Eliminated:]]="Bus Eliminated","",Table1[[#This Row],[Bus Type (A,B,C,D)]]))</f>
        <v/>
      </c>
      <c r="AA49" s="209"/>
      <c r="AB49" s="244"/>
      <c r="AC49" s="211"/>
      <c r="AD49" s="211"/>
      <c r="AE49" s="211"/>
      <c r="AF49" s="201"/>
    </row>
    <row r="50" spans="1:32" ht="12" customHeight="1">
      <c r="A50" s="62" t="str">
        <f>IF(A49&lt;Application!$D$24,A49+1,"")</f>
        <v/>
      </c>
      <c r="B50" s="245"/>
      <c r="C50" s="245"/>
      <c r="D50" s="244"/>
      <c r="E50" s="245"/>
      <c r="F50" s="213"/>
      <c r="G50" s="209"/>
      <c r="H50" s="247"/>
      <c r="I50" s="245"/>
      <c r="J50" s="245"/>
      <c r="K50" s="209"/>
      <c r="L50" s="209"/>
      <c r="M50" s="211"/>
      <c r="N50" s="209"/>
      <c r="O50" s="244"/>
      <c r="P50" s="212"/>
      <c r="Q5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0" s="213"/>
      <c r="S50" s="213"/>
      <c r="T50" s="213"/>
      <c r="U50" s="209"/>
      <c r="V50" s="213"/>
      <c r="W50" s="214"/>
      <c r="X50" s="245"/>
      <c r="Y50" s="244"/>
      <c r="Z50" s="226" t="str">
        <f>IF(Table1[[#This Row],[Bus Type (A,B,C,D)]]="","",IF(Table1[[#This Row],[New Engine Fuel Type or Bus Eliminated:]]="Bus Eliminated","",Table1[[#This Row],[Bus Type (A,B,C,D)]]))</f>
        <v/>
      </c>
      <c r="AA50" s="209"/>
      <c r="AB50" s="244"/>
      <c r="AC50" s="211"/>
      <c r="AD50" s="211"/>
      <c r="AE50" s="211"/>
      <c r="AF50" s="201"/>
    </row>
    <row r="51" spans="1:32" ht="12" customHeight="1">
      <c r="A51" s="62" t="str">
        <f>IF(A50&lt;Application!$D$24,A50+1,"")</f>
        <v/>
      </c>
      <c r="B51" s="245"/>
      <c r="C51" s="245"/>
      <c r="D51" s="244"/>
      <c r="E51" s="245"/>
      <c r="F51" s="213"/>
      <c r="G51" s="209"/>
      <c r="H51" s="247"/>
      <c r="I51" s="245"/>
      <c r="J51" s="245"/>
      <c r="K51" s="209"/>
      <c r="L51" s="209"/>
      <c r="M51" s="211"/>
      <c r="N51" s="209"/>
      <c r="O51" s="244"/>
      <c r="P51" s="212"/>
      <c r="Q5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1" s="213"/>
      <c r="S51" s="213"/>
      <c r="T51" s="213"/>
      <c r="U51" s="209"/>
      <c r="V51" s="213"/>
      <c r="W51" s="214"/>
      <c r="X51" s="245"/>
      <c r="Y51" s="244"/>
      <c r="Z51" s="226" t="str">
        <f>IF(Table1[[#This Row],[Bus Type (A,B,C,D)]]="","",IF(Table1[[#This Row],[New Engine Fuel Type or Bus Eliminated:]]="Bus Eliminated","",Table1[[#This Row],[Bus Type (A,B,C,D)]]))</f>
        <v/>
      </c>
      <c r="AA51" s="209"/>
      <c r="AB51" s="244"/>
      <c r="AC51" s="211"/>
      <c r="AD51" s="211"/>
      <c r="AE51" s="211"/>
      <c r="AF51" s="201"/>
    </row>
    <row r="52" spans="1:32" ht="12" customHeight="1">
      <c r="A52" s="62" t="str">
        <f>IF(A51&lt;Application!$D$24,A51+1,"")</f>
        <v/>
      </c>
      <c r="B52" s="245"/>
      <c r="C52" s="245"/>
      <c r="D52" s="244"/>
      <c r="E52" s="245"/>
      <c r="F52" s="213"/>
      <c r="G52" s="209"/>
      <c r="H52" s="247"/>
      <c r="I52" s="245"/>
      <c r="J52" s="245"/>
      <c r="K52" s="209"/>
      <c r="L52" s="209"/>
      <c r="M52" s="211"/>
      <c r="N52" s="209"/>
      <c r="O52" s="244"/>
      <c r="P52" s="212"/>
      <c r="Q5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2" s="213"/>
      <c r="S52" s="213"/>
      <c r="T52" s="213"/>
      <c r="U52" s="209"/>
      <c r="V52" s="213"/>
      <c r="W52" s="214"/>
      <c r="X52" s="245"/>
      <c r="Y52" s="244"/>
      <c r="Z52" s="226" t="str">
        <f>IF(Table1[[#This Row],[Bus Type (A,B,C,D)]]="","",IF(Table1[[#This Row],[New Engine Fuel Type or Bus Eliminated:]]="Bus Eliminated","",Table1[[#This Row],[Bus Type (A,B,C,D)]]))</f>
        <v/>
      </c>
      <c r="AA52" s="209"/>
      <c r="AB52" s="244"/>
      <c r="AC52" s="211"/>
      <c r="AD52" s="211"/>
      <c r="AE52" s="211"/>
      <c r="AF52" s="201"/>
    </row>
    <row r="53" spans="1:32" ht="12" customHeight="1">
      <c r="A53" s="62" t="str">
        <f>IF(A52&lt;Application!$D$24,A52+1,"")</f>
        <v/>
      </c>
      <c r="B53" s="245"/>
      <c r="C53" s="245"/>
      <c r="D53" s="244"/>
      <c r="E53" s="245"/>
      <c r="F53" s="213"/>
      <c r="G53" s="209"/>
      <c r="H53" s="247"/>
      <c r="I53" s="245"/>
      <c r="J53" s="245"/>
      <c r="K53" s="209"/>
      <c r="L53" s="209"/>
      <c r="M53" s="211"/>
      <c r="N53" s="209"/>
      <c r="O53" s="244"/>
      <c r="P53" s="212"/>
      <c r="Q5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3" s="213"/>
      <c r="S53" s="213"/>
      <c r="T53" s="213"/>
      <c r="U53" s="209"/>
      <c r="V53" s="213"/>
      <c r="W53" s="214"/>
      <c r="X53" s="245"/>
      <c r="Y53" s="244"/>
      <c r="Z53" s="226" t="str">
        <f>IF(Table1[[#This Row],[Bus Type (A,B,C,D)]]="","",IF(Table1[[#This Row],[New Engine Fuel Type or Bus Eliminated:]]="Bus Eliminated","",Table1[[#This Row],[Bus Type (A,B,C,D)]]))</f>
        <v/>
      </c>
      <c r="AA53" s="209"/>
      <c r="AB53" s="244"/>
      <c r="AC53" s="211"/>
      <c r="AD53" s="211"/>
      <c r="AE53" s="211"/>
      <c r="AF53" s="201"/>
    </row>
    <row r="54" spans="1:32" ht="12" customHeight="1">
      <c r="A54" s="62" t="str">
        <f>IF(A53&lt;Application!$D$24,A53+1,"")</f>
        <v/>
      </c>
      <c r="B54" s="245"/>
      <c r="C54" s="245"/>
      <c r="D54" s="244"/>
      <c r="E54" s="245"/>
      <c r="F54" s="213"/>
      <c r="G54" s="209"/>
      <c r="H54" s="247"/>
      <c r="I54" s="245"/>
      <c r="J54" s="245"/>
      <c r="K54" s="209"/>
      <c r="L54" s="209"/>
      <c r="M54" s="211"/>
      <c r="N54" s="209"/>
      <c r="O54" s="244"/>
      <c r="P54" s="212"/>
      <c r="Q5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4" s="213"/>
      <c r="S54" s="213"/>
      <c r="T54" s="213"/>
      <c r="U54" s="209"/>
      <c r="V54" s="213"/>
      <c r="W54" s="214"/>
      <c r="X54" s="245"/>
      <c r="Y54" s="244"/>
      <c r="Z54" s="226" t="str">
        <f>IF(Table1[[#This Row],[Bus Type (A,B,C,D)]]="","",IF(Table1[[#This Row],[New Engine Fuel Type or Bus Eliminated:]]="Bus Eliminated","",Table1[[#This Row],[Bus Type (A,B,C,D)]]))</f>
        <v/>
      </c>
      <c r="AA54" s="209"/>
      <c r="AB54" s="244"/>
      <c r="AC54" s="211"/>
      <c r="AD54" s="211"/>
      <c r="AE54" s="211"/>
      <c r="AF54" s="201"/>
    </row>
    <row r="55" spans="1:32" ht="12" customHeight="1">
      <c r="A55" s="62" t="str">
        <f>IF(A54&lt;Application!$D$24,A54+1,"")</f>
        <v/>
      </c>
      <c r="B55" s="245"/>
      <c r="C55" s="245"/>
      <c r="D55" s="244"/>
      <c r="E55" s="245"/>
      <c r="F55" s="213"/>
      <c r="G55" s="209"/>
      <c r="H55" s="247"/>
      <c r="I55" s="245"/>
      <c r="J55" s="245"/>
      <c r="K55" s="209"/>
      <c r="L55" s="209"/>
      <c r="M55" s="211"/>
      <c r="N55" s="209"/>
      <c r="O55" s="244"/>
      <c r="P55" s="212"/>
      <c r="Q5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5" s="213"/>
      <c r="S55" s="213"/>
      <c r="T55" s="213"/>
      <c r="U55" s="209"/>
      <c r="V55" s="213"/>
      <c r="W55" s="214"/>
      <c r="X55" s="245"/>
      <c r="Y55" s="244"/>
      <c r="Z55" s="226" t="str">
        <f>IF(Table1[[#This Row],[Bus Type (A,B,C,D)]]="","",IF(Table1[[#This Row],[New Engine Fuel Type or Bus Eliminated:]]="Bus Eliminated","",Table1[[#This Row],[Bus Type (A,B,C,D)]]))</f>
        <v/>
      </c>
      <c r="AA55" s="209"/>
      <c r="AB55" s="244"/>
      <c r="AC55" s="211"/>
      <c r="AD55" s="211"/>
      <c r="AE55" s="211"/>
      <c r="AF55" s="201"/>
    </row>
    <row r="56" spans="1:32" ht="12" customHeight="1">
      <c r="A56" s="62" t="str">
        <f>IF(A55&lt;Application!$D$24,A55+1,"")</f>
        <v/>
      </c>
      <c r="B56" s="245"/>
      <c r="C56" s="245"/>
      <c r="D56" s="244"/>
      <c r="E56" s="245"/>
      <c r="F56" s="213"/>
      <c r="G56" s="209"/>
      <c r="H56" s="247"/>
      <c r="I56" s="245"/>
      <c r="J56" s="245"/>
      <c r="K56" s="209"/>
      <c r="L56" s="209"/>
      <c r="M56" s="211"/>
      <c r="N56" s="209"/>
      <c r="O56" s="244"/>
      <c r="P56" s="212"/>
      <c r="Q5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6" s="213"/>
      <c r="S56" s="213"/>
      <c r="T56" s="213"/>
      <c r="U56" s="209"/>
      <c r="V56" s="213"/>
      <c r="W56" s="214"/>
      <c r="X56" s="245"/>
      <c r="Y56" s="244"/>
      <c r="Z56" s="226" t="str">
        <f>IF(Table1[[#This Row],[Bus Type (A,B,C,D)]]="","",IF(Table1[[#This Row],[New Engine Fuel Type or Bus Eliminated:]]="Bus Eliminated","",Table1[[#This Row],[Bus Type (A,B,C,D)]]))</f>
        <v/>
      </c>
      <c r="AA56" s="209"/>
      <c r="AB56" s="244"/>
      <c r="AC56" s="211"/>
      <c r="AD56" s="211"/>
      <c r="AE56" s="211"/>
      <c r="AF56" s="201"/>
    </row>
    <row r="57" spans="1:32" ht="12" customHeight="1">
      <c r="A57" s="62" t="str">
        <f>IF(A56&lt;Application!$D$24,A56+1,"")</f>
        <v/>
      </c>
      <c r="B57" s="245"/>
      <c r="C57" s="245"/>
      <c r="D57" s="244"/>
      <c r="E57" s="245"/>
      <c r="F57" s="213"/>
      <c r="G57" s="209"/>
      <c r="H57" s="247"/>
      <c r="I57" s="245"/>
      <c r="J57" s="245"/>
      <c r="K57" s="209"/>
      <c r="L57" s="209"/>
      <c r="M57" s="211"/>
      <c r="N57" s="209"/>
      <c r="O57" s="244"/>
      <c r="P57" s="212"/>
      <c r="Q5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7" s="213"/>
      <c r="S57" s="213"/>
      <c r="T57" s="213"/>
      <c r="U57" s="209"/>
      <c r="V57" s="213"/>
      <c r="W57" s="214"/>
      <c r="X57" s="245"/>
      <c r="Y57" s="244"/>
      <c r="Z57" s="226" t="str">
        <f>IF(Table1[[#This Row],[Bus Type (A,B,C,D)]]="","",IF(Table1[[#This Row],[New Engine Fuel Type or Bus Eliminated:]]="Bus Eliminated","",Table1[[#This Row],[Bus Type (A,B,C,D)]]))</f>
        <v/>
      </c>
      <c r="AA57" s="209"/>
      <c r="AB57" s="244"/>
      <c r="AC57" s="211"/>
      <c r="AD57" s="211"/>
      <c r="AE57" s="211"/>
      <c r="AF57" s="201"/>
    </row>
    <row r="58" spans="1:32" ht="12" customHeight="1">
      <c r="A58" s="62" t="str">
        <f>IF(A57&lt;Application!$D$24,A57+1,"")</f>
        <v/>
      </c>
      <c r="B58" s="245"/>
      <c r="C58" s="245"/>
      <c r="D58" s="244"/>
      <c r="E58" s="245"/>
      <c r="F58" s="213"/>
      <c r="G58" s="209"/>
      <c r="H58" s="247"/>
      <c r="I58" s="245"/>
      <c r="J58" s="245"/>
      <c r="K58" s="209"/>
      <c r="L58" s="209"/>
      <c r="M58" s="211"/>
      <c r="N58" s="209"/>
      <c r="O58" s="244"/>
      <c r="P58" s="212"/>
      <c r="Q5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8" s="213"/>
      <c r="S58" s="213"/>
      <c r="T58" s="213"/>
      <c r="U58" s="209"/>
      <c r="V58" s="213"/>
      <c r="W58" s="214"/>
      <c r="X58" s="245"/>
      <c r="Y58" s="244"/>
      <c r="Z58" s="226" t="str">
        <f>IF(Table1[[#This Row],[Bus Type (A,B,C,D)]]="","",IF(Table1[[#This Row],[New Engine Fuel Type or Bus Eliminated:]]="Bus Eliminated","",Table1[[#This Row],[Bus Type (A,B,C,D)]]))</f>
        <v/>
      </c>
      <c r="AA58" s="209"/>
      <c r="AB58" s="244"/>
      <c r="AC58" s="211"/>
      <c r="AD58" s="211"/>
      <c r="AE58" s="211"/>
      <c r="AF58" s="201"/>
    </row>
    <row r="59" spans="1:32" ht="12" customHeight="1">
      <c r="A59" s="62" t="str">
        <f>IF(A58&lt;Application!$D$24,A58+1,"")</f>
        <v/>
      </c>
      <c r="B59" s="245"/>
      <c r="C59" s="245"/>
      <c r="D59" s="244"/>
      <c r="E59" s="245"/>
      <c r="F59" s="213"/>
      <c r="G59" s="209"/>
      <c r="H59" s="247"/>
      <c r="I59" s="245"/>
      <c r="J59" s="245"/>
      <c r="K59" s="209"/>
      <c r="L59" s="209"/>
      <c r="M59" s="211"/>
      <c r="N59" s="209"/>
      <c r="O59" s="244"/>
      <c r="P59" s="212"/>
      <c r="Q5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9" s="213"/>
      <c r="S59" s="213"/>
      <c r="T59" s="213"/>
      <c r="U59" s="209"/>
      <c r="V59" s="213"/>
      <c r="W59" s="214"/>
      <c r="X59" s="245"/>
      <c r="Y59" s="244"/>
      <c r="Z59" s="226" t="str">
        <f>IF(Table1[[#This Row],[Bus Type (A,B,C,D)]]="","",IF(Table1[[#This Row],[New Engine Fuel Type or Bus Eliminated:]]="Bus Eliminated","",Table1[[#This Row],[Bus Type (A,B,C,D)]]))</f>
        <v/>
      </c>
      <c r="AA59" s="209"/>
      <c r="AB59" s="244"/>
      <c r="AC59" s="211"/>
      <c r="AD59" s="211"/>
      <c r="AE59" s="211"/>
      <c r="AF59" s="201"/>
    </row>
    <row r="60" spans="1:32" ht="12" customHeight="1">
      <c r="A60" s="62" t="str">
        <f>IF(A59&lt;Application!$D$24,A59+1,"")</f>
        <v/>
      </c>
      <c r="B60" s="245"/>
      <c r="C60" s="245"/>
      <c r="D60" s="244"/>
      <c r="E60" s="245"/>
      <c r="F60" s="213"/>
      <c r="G60" s="209"/>
      <c r="H60" s="247"/>
      <c r="I60" s="245"/>
      <c r="J60" s="245"/>
      <c r="K60" s="209"/>
      <c r="L60" s="209"/>
      <c r="M60" s="211"/>
      <c r="N60" s="209"/>
      <c r="O60" s="244"/>
      <c r="P60" s="212"/>
      <c r="Q6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0" s="213"/>
      <c r="S60" s="213"/>
      <c r="T60" s="213"/>
      <c r="U60" s="209"/>
      <c r="V60" s="213"/>
      <c r="W60" s="214"/>
      <c r="X60" s="245"/>
      <c r="Y60" s="244"/>
      <c r="Z60" s="226" t="str">
        <f>IF(Table1[[#This Row],[Bus Type (A,B,C,D)]]="","",IF(Table1[[#This Row],[New Engine Fuel Type or Bus Eliminated:]]="Bus Eliminated","",Table1[[#This Row],[Bus Type (A,B,C,D)]]))</f>
        <v/>
      </c>
      <c r="AA60" s="209"/>
      <c r="AB60" s="244"/>
      <c r="AC60" s="211"/>
      <c r="AD60" s="211"/>
      <c r="AE60" s="211"/>
      <c r="AF60" s="201"/>
    </row>
    <row r="61" spans="1:32" ht="12" customHeight="1">
      <c r="A61" s="62" t="str">
        <f>IF(A60&lt;Application!$D$24,A60+1,"")</f>
        <v/>
      </c>
      <c r="B61" s="245"/>
      <c r="C61" s="245"/>
      <c r="D61" s="244"/>
      <c r="E61" s="245"/>
      <c r="F61" s="213"/>
      <c r="G61" s="209"/>
      <c r="H61" s="247"/>
      <c r="I61" s="245"/>
      <c r="J61" s="245"/>
      <c r="K61" s="209"/>
      <c r="L61" s="209"/>
      <c r="M61" s="211"/>
      <c r="N61" s="209"/>
      <c r="O61" s="244"/>
      <c r="P61" s="212"/>
      <c r="Q6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1" s="213"/>
      <c r="S61" s="213"/>
      <c r="T61" s="213"/>
      <c r="U61" s="209"/>
      <c r="V61" s="213"/>
      <c r="W61" s="214"/>
      <c r="X61" s="245"/>
      <c r="Y61" s="244"/>
      <c r="Z61" s="226" t="str">
        <f>IF(Table1[[#This Row],[Bus Type (A,B,C,D)]]="","",IF(Table1[[#This Row],[New Engine Fuel Type or Bus Eliminated:]]="Bus Eliminated","",Table1[[#This Row],[Bus Type (A,B,C,D)]]))</f>
        <v/>
      </c>
      <c r="AA61" s="209"/>
      <c r="AB61" s="244"/>
      <c r="AC61" s="211"/>
      <c r="AD61" s="211"/>
      <c r="AE61" s="211"/>
      <c r="AF61" s="201"/>
    </row>
    <row r="62" spans="1:32" ht="12" customHeight="1">
      <c r="A62" s="62" t="str">
        <f>IF(A61&lt;Application!$D$24,A61+1,"")</f>
        <v/>
      </c>
      <c r="B62" s="245"/>
      <c r="C62" s="245"/>
      <c r="D62" s="244"/>
      <c r="E62" s="245"/>
      <c r="F62" s="213"/>
      <c r="G62" s="209"/>
      <c r="H62" s="247"/>
      <c r="I62" s="245"/>
      <c r="J62" s="245"/>
      <c r="K62" s="209"/>
      <c r="L62" s="209"/>
      <c r="M62" s="211"/>
      <c r="N62" s="209"/>
      <c r="O62" s="244"/>
      <c r="P62" s="212"/>
      <c r="Q6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2" s="213"/>
      <c r="S62" s="213"/>
      <c r="T62" s="213"/>
      <c r="U62" s="209"/>
      <c r="V62" s="213"/>
      <c r="W62" s="214"/>
      <c r="X62" s="245"/>
      <c r="Y62" s="244"/>
      <c r="Z62" s="226" t="str">
        <f>IF(Table1[[#This Row],[Bus Type (A,B,C,D)]]="","",IF(Table1[[#This Row],[New Engine Fuel Type or Bus Eliminated:]]="Bus Eliminated","",Table1[[#This Row],[Bus Type (A,B,C,D)]]))</f>
        <v/>
      </c>
      <c r="AA62" s="209"/>
      <c r="AB62" s="244"/>
      <c r="AC62" s="211"/>
      <c r="AD62" s="211"/>
      <c r="AE62" s="211"/>
      <c r="AF62" s="201"/>
    </row>
    <row r="63" spans="1:32" ht="12" customHeight="1">
      <c r="A63" s="62" t="str">
        <f>IF(A62&lt;Application!$D$24,A62+1,"")</f>
        <v/>
      </c>
      <c r="B63" s="245"/>
      <c r="C63" s="245"/>
      <c r="D63" s="244"/>
      <c r="E63" s="245"/>
      <c r="F63" s="213"/>
      <c r="G63" s="209"/>
      <c r="H63" s="247"/>
      <c r="I63" s="245"/>
      <c r="J63" s="245"/>
      <c r="K63" s="209"/>
      <c r="L63" s="209"/>
      <c r="M63" s="211"/>
      <c r="N63" s="209"/>
      <c r="O63" s="244"/>
      <c r="P63" s="212"/>
      <c r="Q6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3" s="213"/>
      <c r="S63" s="213"/>
      <c r="T63" s="213"/>
      <c r="U63" s="209"/>
      <c r="V63" s="213"/>
      <c r="W63" s="214"/>
      <c r="X63" s="245"/>
      <c r="Y63" s="244"/>
      <c r="Z63" s="226" t="str">
        <f>IF(Table1[[#This Row],[Bus Type (A,B,C,D)]]="","",IF(Table1[[#This Row],[New Engine Fuel Type or Bus Eliminated:]]="Bus Eliminated","",Table1[[#This Row],[Bus Type (A,B,C,D)]]))</f>
        <v/>
      </c>
      <c r="AA63" s="209"/>
      <c r="AB63" s="244"/>
      <c r="AC63" s="211"/>
      <c r="AD63" s="211"/>
      <c r="AE63" s="211"/>
      <c r="AF63" s="201"/>
    </row>
    <row r="64" spans="1:32" ht="12" customHeight="1">
      <c r="A64" s="62" t="str">
        <f>IF(A63&lt;Application!$D$24,A63+1,"")</f>
        <v/>
      </c>
      <c r="B64" s="245"/>
      <c r="C64" s="245"/>
      <c r="D64" s="244"/>
      <c r="E64" s="245"/>
      <c r="F64" s="213"/>
      <c r="G64" s="209"/>
      <c r="H64" s="247"/>
      <c r="I64" s="245"/>
      <c r="J64" s="245"/>
      <c r="K64" s="209"/>
      <c r="L64" s="209"/>
      <c r="M64" s="211"/>
      <c r="N64" s="209"/>
      <c r="O64" s="244"/>
      <c r="P64" s="212"/>
      <c r="Q6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4" s="213"/>
      <c r="S64" s="213"/>
      <c r="T64" s="213"/>
      <c r="U64" s="209"/>
      <c r="V64" s="213"/>
      <c r="W64" s="214"/>
      <c r="X64" s="245"/>
      <c r="Y64" s="244"/>
      <c r="Z64" s="226" t="str">
        <f>IF(Table1[[#This Row],[Bus Type (A,B,C,D)]]="","",IF(Table1[[#This Row],[New Engine Fuel Type or Bus Eliminated:]]="Bus Eliminated","",Table1[[#This Row],[Bus Type (A,B,C,D)]]))</f>
        <v/>
      </c>
      <c r="AA64" s="209"/>
      <c r="AB64" s="244"/>
      <c r="AC64" s="211"/>
      <c r="AD64" s="211"/>
      <c r="AE64" s="211"/>
      <c r="AF64" s="201"/>
    </row>
    <row r="65" spans="1:32" ht="12" customHeight="1">
      <c r="A65" s="62" t="str">
        <f>IF(A64&lt;Application!$D$24,A64+1,"")</f>
        <v/>
      </c>
      <c r="B65" s="245"/>
      <c r="C65" s="245"/>
      <c r="D65" s="244"/>
      <c r="E65" s="245"/>
      <c r="F65" s="213"/>
      <c r="G65" s="209"/>
      <c r="H65" s="247"/>
      <c r="I65" s="245"/>
      <c r="J65" s="245"/>
      <c r="K65" s="209"/>
      <c r="L65" s="209"/>
      <c r="M65" s="211"/>
      <c r="N65" s="209"/>
      <c r="O65" s="244"/>
      <c r="P65" s="212"/>
      <c r="Q6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5" s="213"/>
      <c r="S65" s="213"/>
      <c r="T65" s="213"/>
      <c r="U65" s="209"/>
      <c r="V65" s="213"/>
      <c r="W65" s="214"/>
      <c r="X65" s="245"/>
      <c r="Y65" s="244"/>
      <c r="Z65" s="226" t="str">
        <f>IF(Table1[[#This Row],[Bus Type (A,B,C,D)]]="","",IF(Table1[[#This Row],[New Engine Fuel Type or Bus Eliminated:]]="Bus Eliminated","",Table1[[#This Row],[Bus Type (A,B,C,D)]]))</f>
        <v/>
      </c>
      <c r="AA65" s="209"/>
      <c r="AB65" s="244"/>
      <c r="AC65" s="211"/>
      <c r="AD65" s="211"/>
      <c r="AE65" s="211"/>
      <c r="AF65" s="201"/>
    </row>
    <row r="66" spans="1:32" ht="12" customHeight="1">
      <c r="A66" s="62" t="str">
        <f>IF(A65&lt;Application!$D$24,A65+1,"")</f>
        <v/>
      </c>
      <c r="B66" s="245"/>
      <c r="C66" s="245"/>
      <c r="D66" s="244"/>
      <c r="E66" s="245"/>
      <c r="F66" s="213"/>
      <c r="G66" s="209"/>
      <c r="H66" s="247"/>
      <c r="I66" s="245"/>
      <c r="J66" s="245"/>
      <c r="K66" s="209"/>
      <c r="L66" s="209"/>
      <c r="M66" s="211"/>
      <c r="N66" s="209"/>
      <c r="O66" s="244"/>
      <c r="P66" s="212"/>
      <c r="Q6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6" s="213"/>
      <c r="S66" s="213"/>
      <c r="T66" s="213"/>
      <c r="U66" s="209"/>
      <c r="V66" s="213"/>
      <c r="W66" s="214"/>
      <c r="X66" s="245"/>
      <c r="Y66" s="244"/>
      <c r="Z66" s="226" t="str">
        <f>IF(Table1[[#This Row],[Bus Type (A,B,C,D)]]="","",IF(Table1[[#This Row],[New Engine Fuel Type or Bus Eliminated:]]="Bus Eliminated","",Table1[[#This Row],[Bus Type (A,B,C,D)]]))</f>
        <v/>
      </c>
      <c r="AA66" s="209"/>
      <c r="AB66" s="244"/>
      <c r="AC66" s="211"/>
      <c r="AD66" s="211"/>
      <c r="AE66" s="211"/>
      <c r="AF66" s="201"/>
    </row>
    <row r="67" spans="1:32" ht="12" customHeight="1">
      <c r="A67" s="62" t="str">
        <f>IF(A66&lt;Application!$D$24,A66+1,"")</f>
        <v/>
      </c>
      <c r="B67" s="245"/>
      <c r="C67" s="245"/>
      <c r="D67" s="244"/>
      <c r="E67" s="245"/>
      <c r="F67" s="213"/>
      <c r="G67" s="209"/>
      <c r="H67" s="247"/>
      <c r="I67" s="245"/>
      <c r="J67" s="245"/>
      <c r="K67" s="209"/>
      <c r="L67" s="209"/>
      <c r="M67" s="211"/>
      <c r="N67" s="209"/>
      <c r="O67" s="244"/>
      <c r="P67" s="212"/>
      <c r="Q6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7" s="213"/>
      <c r="S67" s="213"/>
      <c r="T67" s="213"/>
      <c r="U67" s="209"/>
      <c r="V67" s="213"/>
      <c r="W67" s="214"/>
      <c r="X67" s="245"/>
      <c r="Y67" s="244"/>
      <c r="Z67" s="226" t="str">
        <f>IF(Table1[[#This Row],[Bus Type (A,B,C,D)]]="","",IF(Table1[[#This Row],[New Engine Fuel Type or Bus Eliminated:]]="Bus Eliminated","",Table1[[#This Row],[Bus Type (A,B,C,D)]]))</f>
        <v/>
      </c>
      <c r="AA67" s="209"/>
      <c r="AB67" s="244"/>
      <c r="AC67" s="211"/>
      <c r="AD67" s="211"/>
      <c r="AE67" s="211"/>
      <c r="AF67" s="201"/>
    </row>
    <row r="68" spans="1:32" ht="12" customHeight="1">
      <c r="A68" s="62" t="str">
        <f>IF(A67&lt;Application!$D$24,A67+1,"")</f>
        <v/>
      </c>
      <c r="B68" s="245"/>
      <c r="C68" s="245"/>
      <c r="D68" s="244"/>
      <c r="E68" s="245"/>
      <c r="F68" s="213"/>
      <c r="G68" s="209"/>
      <c r="H68" s="247"/>
      <c r="I68" s="245"/>
      <c r="J68" s="245"/>
      <c r="K68" s="209"/>
      <c r="L68" s="209"/>
      <c r="M68" s="211"/>
      <c r="N68" s="209"/>
      <c r="O68" s="244"/>
      <c r="P68" s="212"/>
      <c r="Q6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8" s="213"/>
      <c r="S68" s="213"/>
      <c r="T68" s="213"/>
      <c r="U68" s="209"/>
      <c r="V68" s="213"/>
      <c r="W68" s="214"/>
      <c r="X68" s="245"/>
      <c r="Y68" s="244"/>
      <c r="Z68" s="226" t="str">
        <f>IF(Table1[[#This Row],[Bus Type (A,B,C,D)]]="","",IF(Table1[[#This Row],[New Engine Fuel Type or Bus Eliminated:]]="Bus Eliminated","",Table1[[#This Row],[Bus Type (A,B,C,D)]]))</f>
        <v/>
      </c>
      <c r="AA68" s="209"/>
      <c r="AB68" s="244"/>
      <c r="AC68" s="211"/>
      <c r="AD68" s="211"/>
      <c r="AE68" s="211"/>
      <c r="AF68" s="201"/>
    </row>
    <row r="69" spans="1:32" ht="12" customHeight="1">
      <c r="A69" s="62" t="str">
        <f>IF(A68&lt;Application!$D$24,A68+1,"")</f>
        <v/>
      </c>
      <c r="B69" s="245"/>
      <c r="C69" s="245"/>
      <c r="D69" s="244"/>
      <c r="E69" s="245"/>
      <c r="F69" s="213"/>
      <c r="G69" s="209"/>
      <c r="H69" s="247"/>
      <c r="I69" s="245"/>
      <c r="J69" s="245"/>
      <c r="K69" s="209"/>
      <c r="L69" s="209"/>
      <c r="M69" s="211"/>
      <c r="N69" s="209"/>
      <c r="O69" s="244"/>
      <c r="P69" s="212"/>
      <c r="Q6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9" s="213"/>
      <c r="S69" s="213"/>
      <c r="T69" s="213"/>
      <c r="U69" s="209"/>
      <c r="V69" s="213"/>
      <c r="W69" s="214"/>
      <c r="X69" s="245"/>
      <c r="Y69" s="244"/>
      <c r="Z69" s="226" t="str">
        <f>IF(Table1[[#This Row],[Bus Type (A,B,C,D)]]="","",IF(Table1[[#This Row],[New Engine Fuel Type or Bus Eliminated:]]="Bus Eliminated","",Table1[[#This Row],[Bus Type (A,B,C,D)]]))</f>
        <v/>
      </c>
      <c r="AA69" s="209"/>
      <c r="AB69" s="244"/>
      <c r="AC69" s="211"/>
      <c r="AD69" s="211"/>
      <c r="AE69" s="211"/>
      <c r="AF69" s="201"/>
    </row>
    <row r="70" spans="1:32" ht="12" customHeight="1">
      <c r="A70" s="62" t="str">
        <f>IF(A69&lt;Application!$D$24,A69+1,"")</f>
        <v/>
      </c>
      <c r="B70" s="245"/>
      <c r="C70" s="245"/>
      <c r="D70" s="244"/>
      <c r="E70" s="245"/>
      <c r="F70" s="213"/>
      <c r="G70" s="209"/>
      <c r="H70" s="247"/>
      <c r="I70" s="245"/>
      <c r="J70" s="245"/>
      <c r="K70" s="209"/>
      <c r="L70" s="209"/>
      <c r="M70" s="211"/>
      <c r="N70" s="209"/>
      <c r="O70" s="244"/>
      <c r="P70" s="212"/>
      <c r="Q7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0" s="213"/>
      <c r="S70" s="213"/>
      <c r="T70" s="213"/>
      <c r="U70" s="209"/>
      <c r="V70" s="213"/>
      <c r="W70" s="214"/>
      <c r="X70" s="245"/>
      <c r="Y70" s="244"/>
      <c r="Z70" s="226" t="str">
        <f>IF(Table1[[#This Row],[Bus Type (A,B,C,D)]]="","",IF(Table1[[#This Row],[New Engine Fuel Type or Bus Eliminated:]]="Bus Eliminated","",Table1[[#This Row],[Bus Type (A,B,C,D)]]))</f>
        <v/>
      </c>
      <c r="AA70" s="209"/>
      <c r="AB70" s="244"/>
      <c r="AC70" s="211"/>
      <c r="AD70" s="211"/>
      <c r="AE70" s="211"/>
      <c r="AF70" s="201"/>
    </row>
    <row r="71" spans="1:32" ht="12" customHeight="1">
      <c r="A71" s="62" t="str">
        <f>IF(A70&lt;Application!$D$24,A70+1,"")</f>
        <v/>
      </c>
      <c r="B71" s="245"/>
      <c r="C71" s="245"/>
      <c r="D71" s="244"/>
      <c r="E71" s="245"/>
      <c r="F71" s="213"/>
      <c r="G71" s="209"/>
      <c r="H71" s="247"/>
      <c r="I71" s="245"/>
      <c r="J71" s="245"/>
      <c r="K71" s="209"/>
      <c r="L71" s="209"/>
      <c r="M71" s="211"/>
      <c r="N71" s="209"/>
      <c r="O71" s="244"/>
      <c r="P71" s="212"/>
      <c r="Q7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1" s="213"/>
      <c r="S71" s="213"/>
      <c r="T71" s="213"/>
      <c r="U71" s="209"/>
      <c r="V71" s="213"/>
      <c r="W71" s="214"/>
      <c r="X71" s="245"/>
      <c r="Y71" s="244"/>
      <c r="Z71" s="226" t="str">
        <f>IF(Table1[[#This Row],[Bus Type (A,B,C,D)]]="","",IF(Table1[[#This Row],[New Engine Fuel Type or Bus Eliminated:]]="Bus Eliminated","",Table1[[#This Row],[Bus Type (A,B,C,D)]]))</f>
        <v/>
      </c>
      <c r="AA71" s="209"/>
      <c r="AB71" s="244"/>
      <c r="AC71" s="211"/>
      <c r="AD71" s="211"/>
      <c r="AE71" s="211"/>
      <c r="AF71" s="201"/>
    </row>
    <row r="72" spans="1:32" ht="12" customHeight="1">
      <c r="A72" s="62" t="str">
        <f>IF(A71&lt;Application!$D$24,A71+1,"")</f>
        <v/>
      </c>
      <c r="B72" s="245"/>
      <c r="C72" s="245"/>
      <c r="D72" s="244"/>
      <c r="E72" s="245"/>
      <c r="F72" s="213"/>
      <c r="G72" s="209"/>
      <c r="H72" s="247"/>
      <c r="I72" s="245"/>
      <c r="J72" s="245"/>
      <c r="K72" s="209"/>
      <c r="L72" s="209"/>
      <c r="M72" s="211"/>
      <c r="N72" s="209"/>
      <c r="O72" s="244"/>
      <c r="P72" s="212"/>
      <c r="Q7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2" s="213"/>
      <c r="S72" s="213"/>
      <c r="T72" s="213"/>
      <c r="U72" s="209"/>
      <c r="V72" s="213"/>
      <c r="W72" s="214"/>
      <c r="X72" s="245"/>
      <c r="Y72" s="244"/>
      <c r="Z72" s="226" t="str">
        <f>IF(Table1[[#This Row],[Bus Type (A,B,C,D)]]="","",IF(Table1[[#This Row],[New Engine Fuel Type or Bus Eliminated:]]="Bus Eliminated","",Table1[[#This Row],[Bus Type (A,B,C,D)]]))</f>
        <v/>
      </c>
      <c r="AA72" s="209"/>
      <c r="AB72" s="244"/>
      <c r="AC72" s="211"/>
      <c r="AD72" s="211"/>
      <c r="AE72" s="211"/>
      <c r="AF72" s="201"/>
    </row>
    <row r="73" spans="1:32" ht="12" customHeight="1">
      <c r="A73" s="62" t="str">
        <f>IF(A72&lt;Application!$D$24,A72+1,"")</f>
        <v/>
      </c>
      <c r="B73" s="245"/>
      <c r="C73" s="245"/>
      <c r="D73" s="244"/>
      <c r="E73" s="245"/>
      <c r="F73" s="213"/>
      <c r="G73" s="209"/>
      <c r="H73" s="247"/>
      <c r="I73" s="245"/>
      <c r="J73" s="245"/>
      <c r="K73" s="209"/>
      <c r="L73" s="209"/>
      <c r="M73" s="211"/>
      <c r="N73" s="209"/>
      <c r="O73" s="244"/>
      <c r="P73" s="212"/>
      <c r="Q7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3" s="213"/>
      <c r="S73" s="213"/>
      <c r="T73" s="213"/>
      <c r="U73" s="209"/>
      <c r="V73" s="213"/>
      <c r="W73" s="214"/>
      <c r="X73" s="245"/>
      <c r="Y73" s="244"/>
      <c r="Z73" s="226" t="str">
        <f>IF(Table1[[#This Row],[Bus Type (A,B,C,D)]]="","",IF(Table1[[#This Row],[New Engine Fuel Type or Bus Eliminated:]]="Bus Eliminated","",Table1[[#This Row],[Bus Type (A,B,C,D)]]))</f>
        <v/>
      </c>
      <c r="AA73" s="209"/>
      <c r="AB73" s="244"/>
      <c r="AC73" s="211"/>
      <c r="AD73" s="211"/>
      <c r="AE73" s="211"/>
      <c r="AF73" s="201"/>
    </row>
    <row r="74" spans="1:32" ht="12" customHeight="1">
      <c r="A74" s="62" t="str">
        <f>IF(A73&lt;Application!$D$24,A73+1,"")</f>
        <v/>
      </c>
      <c r="B74" s="245"/>
      <c r="C74" s="245"/>
      <c r="D74" s="244"/>
      <c r="E74" s="245"/>
      <c r="F74" s="213"/>
      <c r="G74" s="209"/>
      <c r="H74" s="247"/>
      <c r="I74" s="245"/>
      <c r="J74" s="245"/>
      <c r="K74" s="209"/>
      <c r="L74" s="209"/>
      <c r="M74" s="211"/>
      <c r="N74" s="209"/>
      <c r="O74" s="244"/>
      <c r="P74" s="212"/>
      <c r="Q7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4" s="213"/>
      <c r="S74" s="213"/>
      <c r="T74" s="213"/>
      <c r="U74" s="209"/>
      <c r="V74" s="213"/>
      <c r="W74" s="214"/>
      <c r="X74" s="245"/>
      <c r="Y74" s="244"/>
      <c r="Z74" s="226" t="str">
        <f>IF(Table1[[#This Row],[Bus Type (A,B,C,D)]]="","",IF(Table1[[#This Row],[New Engine Fuel Type or Bus Eliminated:]]="Bus Eliminated","",Table1[[#This Row],[Bus Type (A,B,C,D)]]))</f>
        <v/>
      </c>
      <c r="AA74" s="209"/>
      <c r="AB74" s="244"/>
      <c r="AC74" s="211"/>
      <c r="AD74" s="211"/>
      <c r="AE74" s="211"/>
      <c r="AF74" s="201"/>
    </row>
    <row r="75" spans="1:32" ht="12" customHeight="1">
      <c r="A75" s="62" t="str">
        <f>IF(A74&lt;Application!$D$24,A74+1,"")</f>
        <v/>
      </c>
      <c r="B75" s="245"/>
      <c r="C75" s="245"/>
      <c r="D75" s="244"/>
      <c r="E75" s="245"/>
      <c r="F75" s="213"/>
      <c r="G75" s="209"/>
      <c r="H75" s="247"/>
      <c r="I75" s="245"/>
      <c r="J75" s="245"/>
      <c r="K75" s="209"/>
      <c r="L75" s="209"/>
      <c r="M75" s="211"/>
      <c r="N75" s="209"/>
      <c r="O75" s="244"/>
      <c r="P75" s="212"/>
      <c r="Q7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5" s="213"/>
      <c r="S75" s="213"/>
      <c r="T75" s="213"/>
      <c r="U75" s="209"/>
      <c r="V75" s="213"/>
      <c r="W75" s="214"/>
      <c r="X75" s="245"/>
      <c r="Y75" s="244"/>
      <c r="Z75" s="226" t="str">
        <f>IF(Table1[[#This Row],[Bus Type (A,B,C,D)]]="","",IF(Table1[[#This Row],[New Engine Fuel Type or Bus Eliminated:]]="Bus Eliminated","",Table1[[#This Row],[Bus Type (A,B,C,D)]]))</f>
        <v/>
      </c>
      <c r="AA75" s="209"/>
      <c r="AB75" s="244"/>
      <c r="AC75" s="211"/>
      <c r="AD75" s="211"/>
      <c r="AE75" s="211"/>
      <c r="AF75" s="201"/>
    </row>
    <row r="76" spans="1:32" ht="12" customHeight="1">
      <c r="A76" s="62" t="str">
        <f>IF(A75&lt;Application!$D$24,A75+1,"")</f>
        <v/>
      </c>
      <c r="B76" s="245"/>
      <c r="C76" s="245"/>
      <c r="D76" s="244"/>
      <c r="E76" s="245"/>
      <c r="F76" s="213"/>
      <c r="G76" s="209"/>
      <c r="H76" s="247"/>
      <c r="I76" s="245"/>
      <c r="J76" s="245"/>
      <c r="K76" s="209"/>
      <c r="L76" s="209"/>
      <c r="M76" s="211"/>
      <c r="N76" s="209"/>
      <c r="O76" s="244"/>
      <c r="P76" s="212"/>
      <c r="Q7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6" s="213"/>
      <c r="S76" s="213"/>
      <c r="T76" s="213"/>
      <c r="U76" s="209"/>
      <c r="V76" s="213"/>
      <c r="W76" s="214"/>
      <c r="X76" s="245"/>
      <c r="Y76" s="244"/>
      <c r="Z76" s="226" t="str">
        <f>IF(Table1[[#This Row],[Bus Type (A,B,C,D)]]="","",IF(Table1[[#This Row],[New Engine Fuel Type or Bus Eliminated:]]="Bus Eliminated","",Table1[[#This Row],[Bus Type (A,B,C,D)]]))</f>
        <v/>
      </c>
      <c r="AA76" s="209"/>
      <c r="AB76" s="244"/>
      <c r="AC76" s="211"/>
      <c r="AD76" s="211"/>
      <c r="AE76" s="211"/>
      <c r="AF76" s="201"/>
    </row>
    <row r="77" spans="1:32" ht="12" customHeight="1">
      <c r="A77" s="62" t="str">
        <f>IF(A76&lt;Application!$D$24,A76+1,"")</f>
        <v/>
      </c>
      <c r="B77" s="245"/>
      <c r="C77" s="245"/>
      <c r="D77" s="244"/>
      <c r="E77" s="245"/>
      <c r="F77" s="213"/>
      <c r="G77" s="209"/>
      <c r="H77" s="247"/>
      <c r="I77" s="245"/>
      <c r="J77" s="245"/>
      <c r="K77" s="209"/>
      <c r="L77" s="209"/>
      <c r="M77" s="211"/>
      <c r="N77" s="209"/>
      <c r="O77" s="244"/>
      <c r="P77" s="212"/>
      <c r="Q7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7" s="213"/>
      <c r="S77" s="213"/>
      <c r="T77" s="213"/>
      <c r="U77" s="209"/>
      <c r="V77" s="213"/>
      <c r="W77" s="214"/>
      <c r="X77" s="245"/>
      <c r="Y77" s="244"/>
      <c r="Z77" s="226" t="str">
        <f>IF(Table1[[#This Row],[Bus Type (A,B,C,D)]]="","",IF(Table1[[#This Row],[New Engine Fuel Type or Bus Eliminated:]]="Bus Eliminated","",Table1[[#This Row],[Bus Type (A,B,C,D)]]))</f>
        <v/>
      </c>
      <c r="AA77" s="209"/>
      <c r="AB77" s="244"/>
      <c r="AC77" s="211"/>
      <c r="AD77" s="211"/>
      <c r="AE77" s="211"/>
      <c r="AF77" s="201"/>
    </row>
    <row r="78" spans="1:32" ht="12" customHeight="1">
      <c r="A78" s="62" t="str">
        <f>IF(A77&lt;Application!$D$24,A77+1,"")</f>
        <v/>
      </c>
      <c r="B78" s="245"/>
      <c r="C78" s="245"/>
      <c r="D78" s="244"/>
      <c r="E78" s="245"/>
      <c r="F78" s="213"/>
      <c r="G78" s="209"/>
      <c r="H78" s="247"/>
      <c r="I78" s="245"/>
      <c r="J78" s="245"/>
      <c r="K78" s="209"/>
      <c r="L78" s="209"/>
      <c r="M78" s="211"/>
      <c r="N78" s="209"/>
      <c r="O78" s="244"/>
      <c r="P78" s="212"/>
      <c r="Q7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8" s="213"/>
      <c r="S78" s="213"/>
      <c r="T78" s="213"/>
      <c r="U78" s="209"/>
      <c r="V78" s="213"/>
      <c r="W78" s="214"/>
      <c r="X78" s="245"/>
      <c r="Y78" s="244"/>
      <c r="Z78" s="226" t="str">
        <f>IF(Table1[[#This Row],[Bus Type (A,B,C,D)]]="","",IF(Table1[[#This Row],[New Engine Fuel Type or Bus Eliminated:]]="Bus Eliminated","",Table1[[#This Row],[Bus Type (A,B,C,D)]]))</f>
        <v/>
      </c>
      <c r="AA78" s="209"/>
      <c r="AB78" s="244"/>
      <c r="AC78" s="211"/>
      <c r="AD78" s="211"/>
      <c r="AE78" s="211"/>
      <c r="AF78" s="201"/>
    </row>
    <row r="79" spans="1:32" ht="12" customHeight="1">
      <c r="A79" s="62" t="str">
        <f>IF(A78&lt;Application!$D$24,A78+1,"")</f>
        <v/>
      </c>
      <c r="B79" s="245"/>
      <c r="C79" s="245"/>
      <c r="D79" s="244"/>
      <c r="E79" s="245"/>
      <c r="F79" s="213"/>
      <c r="G79" s="209"/>
      <c r="H79" s="247"/>
      <c r="I79" s="245"/>
      <c r="J79" s="245"/>
      <c r="K79" s="209"/>
      <c r="L79" s="209"/>
      <c r="M79" s="211"/>
      <c r="N79" s="209"/>
      <c r="O79" s="244"/>
      <c r="P79" s="212"/>
      <c r="Q7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9" s="213"/>
      <c r="S79" s="213"/>
      <c r="T79" s="213"/>
      <c r="U79" s="209"/>
      <c r="V79" s="213"/>
      <c r="W79" s="214"/>
      <c r="X79" s="245"/>
      <c r="Y79" s="244"/>
      <c r="Z79" s="226" t="str">
        <f>IF(Table1[[#This Row],[Bus Type (A,B,C,D)]]="","",IF(Table1[[#This Row],[New Engine Fuel Type or Bus Eliminated:]]="Bus Eliminated","",Table1[[#This Row],[Bus Type (A,B,C,D)]]))</f>
        <v/>
      </c>
      <c r="AA79" s="209"/>
      <c r="AB79" s="244"/>
      <c r="AC79" s="211"/>
      <c r="AD79" s="211"/>
      <c r="AE79" s="211"/>
      <c r="AF79" s="201"/>
    </row>
    <row r="80" spans="1:32" ht="12" customHeight="1">
      <c r="A80" s="62" t="str">
        <f>IF(A79&lt;Application!$D$24,A79+1,"")</f>
        <v/>
      </c>
      <c r="B80" s="245"/>
      <c r="C80" s="245"/>
      <c r="D80" s="244"/>
      <c r="E80" s="245"/>
      <c r="F80" s="213"/>
      <c r="G80" s="209"/>
      <c r="H80" s="247"/>
      <c r="I80" s="245"/>
      <c r="J80" s="245"/>
      <c r="K80" s="209"/>
      <c r="L80" s="209"/>
      <c r="M80" s="211"/>
      <c r="N80" s="209"/>
      <c r="O80" s="244"/>
      <c r="P80" s="212"/>
      <c r="Q8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0" s="213"/>
      <c r="S80" s="213"/>
      <c r="T80" s="213"/>
      <c r="U80" s="209"/>
      <c r="V80" s="213"/>
      <c r="W80" s="214"/>
      <c r="X80" s="245"/>
      <c r="Y80" s="244"/>
      <c r="Z80" s="226" t="str">
        <f>IF(Table1[[#This Row],[Bus Type (A,B,C,D)]]="","",IF(Table1[[#This Row],[New Engine Fuel Type or Bus Eliminated:]]="Bus Eliminated","",Table1[[#This Row],[Bus Type (A,B,C,D)]]))</f>
        <v/>
      </c>
      <c r="AA80" s="209"/>
      <c r="AB80" s="244"/>
      <c r="AC80" s="211"/>
      <c r="AD80" s="211"/>
      <c r="AE80" s="211"/>
      <c r="AF80" s="201"/>
    </row>
    <row r="81" spans="1:32" ht="12" customHeight="1">
      <c r="A81" s="62" t="str">
        <f>IF(A80&lt;Application!$D$24,A80+1,"")</f>
        <v/>
      </c>
      <c r="B81" s="245"/>
      <c r="C81" s="245"/>
      <c r="D81" s="244"/>
      <c r="E81" s="245"/>
      <c r="F81" s="213"/>
      <c r="G81" s="209"/>
      <c r="H81" s="247"/>
      <c r="I81" s="245"/>
      <c r="J81" s="245"/>
      <c r="K81" s="209"/>
      <c r="L81" s="209"/>
      <c r="M81" s="211"/>
      <c r="N81" s="209"/>
      <c r="O81" s="244"/>
      <c r="P81" s="212"/>
      <c r="Q8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1" s="213"/>
      <c r="S81" s="213"/>
      <c r="T81" s="213"/>
      <c r="U81" s="209"/>
      <c r="V81" s="213"/>
      <c r="W81" s="214"/>
      <c r="X81" s="245"/>
      <c r="Y81" s="244"/>
      <c r="Z81" s="226" t="str">
        <f>IF(Table1[[#This Row],[Bus Type (A,B,C,D)]]="","",IF(Table1[[#This Row],[New Engine Fuel Type or Bus Eliminated:]]="Bus Eliminated","",Table1[[#This Row],[Bus Type (A,B,C,D)]]))</f>
        <v/>
      </c>
      <c r="AA81" s="209"/>
      <c r="AB81" s="244"/>
      <c r="AC81" s="211"/>
      <c r="AD81" s="211"/>
      <c r="AE81" s="211"/>
      <c r="AF81" s="201"/>
    </row>
    <row r="82" spans="1:32" ht="12" customHeight="1">
      <c r="A82" s="62" t="str">
        <f>IF(A81&lt;Application!$D$24,A81+1,"")</f>
        <v/>
      </c>
      <c r="B82" s="245"/>
      <c r="C82" s="245"/>
      <c r="D82" s="244"/>
      <c r="E82" s="245"/>
      <c r="F82" s="213"/>
      <c r="G82" s="209"/>
      <c r="H82" s="247"/>
      <c r="I82" s="245"/>
      <c r="J82" s="245"/>
      <c r="K82" s="209"/>
      <c r="L82" s="209"/>
      <c r="M82" s="211"/>
      <c r="N82" s="209"/>
      <c r="O82" s="244"/>
      <c r="P82" s="212"/>
      <c r="Q8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2" s="213"/>
      <c r="S82" s="213"/>
      <c r="T82" s="213"/>
      <c r="U82" s="209"/>
      <c r="V82" s="213"/>
      <c r="W82" s="214"/>
      <c r="X82" s="245"/>
      <c r="Y82" s="244"/>
      <c r="Z82" s="226" t="str">
        <f>IF(Table1[[#This Row],[Bus Type (A,B,C,D)]]="","",IF(Table1[[#This Row],[New Engine Fuel Type or Bus Eliminated:]]="Bus Eliminated","",Table1[[#This Row],[Bus Type (A,B,C,D)]]))</f>
        <v/>
      </c>
      <c r="AA82" s="209"/>
      <c r="AB82" s="244"/>
      <c r="AC82" s="211"/>
      <c r="AD82" s="211"/>
      <c r="AE82" s="211"/>
      <c r="AF82" s="201"/>
    </row>
    <row r="83" spans="1:32" ht="12" customHeight="1">
      <c r="A83" s="62" t="str">
        <f>IF(A82&lt;Application!$D$24,A82+1,"")</f>
        <v/>
      </c>
      <c r="B83" s="245"/>
      <c r="C83" s="245"/>
      <c r="D83" s="244"/>
      <c r="E83" s="245"/>
      <c r="F83" s="213"/>
      <c r="G83" s="209"/>
      <c r="H83" s="247"/>
      <c r="I83" s="245"/>
      <c r="J83" s="245"/>
      <c r="K83" s="209"/>
      <c r="L83" s="209"/>
      <c r="M83" s="211"/>
      <c r="N83" s="209"/>
      <c r="O83" s="244"/>
      <c r="P83" s="212"/>
      <c r="Q8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3" s="213"/>
      <c r="S83" s="213"/>
      <c r="T83" s="213"/>
      <c r="U83" s="209"/>
      <c r="V83" s="213"/>
      <c r="W83" s="214"/>
      <c r="X83" s="245"/>
      <c r="Y83" s="244"/>
      <c r="Z83" s="226" t="str">
        <f>IF(Table1[[#This Row],[Bus Type (A,B,C,D)]]="","",IF(Table1[[#This Row],[New Engine Fuel Type or Bus Eliminated:]]="Bus Eliminated","",Table1[[#This Row],[Bus Type (A,B,C,D)]]))</f>
        <v/>
      </c>
      <c r="AA83" s="209"/>
      <c r="AB83" s="244"/>
      <c r="AC83" s="211"/>
      <c r="AD83" s="211"/>
      <c r="AE83" s="211"/>
      <c r="AF83" s="201"/>
    </row>
    <row r="84" spans="1:32" ht="12" customHeight="1">
      <c r="A84" s="62" t="str">
        <f>IF(A83&lt;Application!$D$24,A83+1,"")</f>
        <v/>
      </c>
      <c r="B84" s="245"/>
      <c r="C84" s="245"/>
      <c r="D84" s="244"/>
      <c r="E84" s="245"/>
      <c r="F84" s="213"/>
      <c r="G84" s="209"/>
      <c r="H84" s="247"/>
      <c r="I84" s="245"/>
      <c r="J84" s="245"/>
      <c r="K84" s="209"/>
      <c r="L84" s="209"/>
      <c r="M84" s="211"/>
      <c r="N84" s="209"/>
      <c r="O84" s="244"/>
      <c r="P84" s="212"/>
      <c r="Q8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4" s="213"/>
      <c r="S84" s="213"/>
      <c r="T84" s="213"/>
      <c r="U84" s="209"/>
      <c r="V84" s="213"/>
      <c r="W84" s="214"/>
      <c r="X84" s="245"/>
      <c r="Y84" s="244"/>
      <c r="Z84" s="226" t="str">
        <f>IF(Table1[[#This Row],[Bus Type (A,B,C,D)]]="","",IF(Table1[[#This Row],[New Engine Fuel Type or Bus Eliminated:]]="Bus Eliminated","",Table1[[#This Row],[Bus Type (A,B,C,D)]]))</f>
        <v/>
      </c>
      <c r="AA84" s="209"/>
      <c r="AB84" s="244"/>
      <c r="AC84" s="211"/>
      <c r="AD84" s="211"/>
      <c r="AE84" s="211"/>
      <c r="AF84" s="201"/>
    </row>
    <row r="85" spans="1:32" ht="12" customHeight="1">
      <c r="A85" s="62" t="str">
        <f>IF(A84&lt;Application!$D$24,A84+1,"")</f>
        <v/>
      </c>
      <c r="B85" s="245"/>
      <c r="C85" s="245"/>
      <c r="D85" s="244"/>
      <c r="E85" s="245"/>
      <c r="F85" s="213"/>
      <c r="G85" s="209"/>
      <c r="H85" s="247"/>
      <c r="I85" s="245"/>
      <c r="J85" s="245"/>
      <c r="K85" s="209"/>
      <c r="L85" s="209"/>
      <c r="M85" s="211"/>
      <c r="N85" s="209"/>
      <c r="O85" s="244"/>
      <c r="P85" s="212"/>
      <c r="Q8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5" s="213"/>
      <c r="S85" s="213"/>
      <c r="T85" s="213"/>
      <c r="U85" s="209"/>
      <c r="V85" s="213"/>
      <c r="W85" s="214"/>
      <c r="X85" s="245"/>
      <c r="Y85" s="244"/>
      <c r="Z85" s="226" t="str">
        <f>IF(Table1[[#This Row],[Bus Type (A,B,C,D)]]="","",IF(Table1[[#This Row],[New Engine Fuel Type or Bus Eliminated:]]="Bus Eliminated","",Table1[[#This Row],[Bus Type (A,B,C,D)]]))</f>
        <v/>
      </c>
      <c r="AA85" s="209"/>
      <c r="AB85" s="244"/>
      <c r="AC85" s="211"/>
      <c r="AD85" s="211"/>
      <c r="AE85" s="211"/>
      <c r="AF85" s="201"/>
    </row>
    <row r="86" spans="1:32" ht="12" customHeight="1">
      <c r="A86" s="62" t="str">
        <f>IF(A85&lt;Application!$D$24,A85+1,"")</f>
        <v/>
      </c>
      <c r="B86" s="245"/>
      <c r="C86" s="245"/>
      <c r="D86" s="244"/>
      <c r="E86" s="245"/>
      <c r="F86" s="213"/>
      <c r="G86" s="209"/>
      <c r="H86" s="247"/>
      <c r="I86" s="245"/>
      <c r="J86" s="245"/>
      <c r="K86" s="209"/>
      <c r="L86" s="209"/>
      <c r="M86" s="211"/>
      <c r="N86" s="209"/>
      <c r="O86" s="244"/>
      <c r="P86" s="212"/>
      <c r="Q8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6" s="213"/>
      <c r="S86" s="213"/>
      <c r="T86" s="213"/>
      <c r="U86" s="209"/>
      <c r="V86" s="213"/>
      <c r="W86" s="214"/>
      <c r="X86" s="245"/>
      <c r="Y86" s="244"/>
      <c r="Z86" s="226" t="str">
        <f>IF(Table1[[#This Row],[Bus Type (A,B,C,D)]]="","",IF(Table1[[#This Row],[New Engine Fuel Type or Bus Eliminated:]]="Bus Eliminated","",Table1[[#This Row],[Bus Type (A,B,C,D)]]))</f>
        <v/>
      </c>
      <c r="AA86" s="209"/>
      <c r="AB86" s="244"/>
      <c r="AC86" s="211"/>
      <c r="AD86" s="211"/>
      <c r="AE86" s="211"/>
      <c r="AF86" s="201"/>
    </row>
    <row r="87" spans="1:32" ht="12" customHeight="1">
      <c r="A87" s="62" t="str">
        <f>IF(A86&lt;Application!$D$24,A86+1,"")</f>
        <v/>
      </c>
      <c r="B87" s="245"/>
      <c r="C87" s="245"/>
      <c r="D87" s="244"/>
      <c r="E87" s="245"/>
      <c r="F87" s="213"/>
      <c r="G87" s="209"/>
      <c r="H87" s="247"/>
      <c r="I87" s="245"/>
      <c r="J87" s="245"/>
      <c r="K87" s="209"/>
      <c r="L87" s="209"/>
      <c r="M87" s="211"/>
      <c r="N87" s="209"/>
      <c r="O87" s="244"/>
      <c r="P87" s="212"/>
      <c r="Q8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7" s="213"/>
      <c r="S87" s="213"/>
      <c r="T87" s="213"/>
      <c r="U87" s="209"/>
      <c r="V87" s="213"/>
      <c r="W87" s="214"/>
      <c r="X87" s="245"/>
      <c r="Y87" s="244"/>
      <c r="Z87" s="226" t="str">
        <f>IF(Table1[[#This Row],[Bus Type (A,B,C,D)]]="","",IF(Table1[[#This Row],[New Engine Fuel Type or Bus Eliminated:]]="Bus Eliminated","",Table1[[#This Row],[Bus Type (A,B,C,D)]]))</f>
        <v/>
      </c>
      <c r="AA87" s="209"/>
      <c r="AB87" s="244"/>
      <c r="AC87" s="211"/>
      <c r="AD87" s="211"/>
      <c r="AE87" s="211"/>
      <c r="AF87" s="201"/>
    </row>
    <row r="88" spans="1:32" ht="12" customHeight="1">
      <c r="A88" s="62" t="str">
        <f>IF(A87&lt;Application!$D$24,A87+1,"")</f>
        <v/>
      </c>
      <c r="B88" s="245"/>
      <c r="C88" s="245"/>
      <c r="D88" s="244"/>
      <c r="E88" s="245"/>
      <c r="F88" s="213"/>
      <c r="G88" s="209"/>
      <c r="H88" s="247"/>
      <c r="I88" s="245"/>
      <c r="J88" s="245"/>
      <c r="K88" s="209"/>
      <c r="L88" s="209"/>
      <c r="M88" s="211"/>
      <c r="N88" s="209"/>
      <c r="O88" s="244"/>
      <c r="P88" s="212"/>
      <c r="Q8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8" s="213"/>
      <c r="S88" s="213"/>
      <c r="T88" s="213"/>
      <c r="U88" s="209"/>
      <c r="V88" s="213"/>
      <c r="W88" s="214"/>
      <c r="X88" s="245"/>
      <c r="Y88" s="244"/>
      <c r="Z88" s="226" t="str">
        <f>IF(Table1[[#This Row],[Bus Type (A,B,C,D)]]="","",IF(Table1[[#This Row],[New Engine Fuel Type or Bus Eliminated:]]="Bus Eliminated","",Table1[[#This Row],[Bus Type (A,B,C,D)]]))</f>
        <v/>
      </c>
      <c r="AA88" s="209"/>
      <c r="AB88" s="244"/>
      <c r="AC88" s="211"/>
      <c r="AD88" s="211"/>
      <c r="AE88" s="211"/>
      <c r="AF88" s="201"/>
    </row>
    <row r="89" spans="1:32" ht="12" customHeight="1">
      <c r="A89" s="62" t="str">
        <f>IF(A88&lt;Application!$D$24,A88+1,"")</f>
        <v/>
      </c>
      <c r="B89" s="245"/>
      <c r="C89" s="245"/>
      <c r="D89" s="244"/>
      <c r="E89" s="245"/>
      <c r="F89" s="213"/>
      <c r="G89" s="209"/>
      <c r="H89" s="247"/>
      <c r="I89" s="245"/>
      <c r="J89" s="245"/>
      <c r="K89" s="209"/>
      <c r="L89" s="209"/>
      <c r="M89" s="211"/>
      <c r="N89" s="209"/>
      <c r="O89" s="244"/>
      <c r="P89" s="212"/>
      <c r="Q8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9" s="213"/>
      <c r="S89" s="213"/>
      <c r="T89" s="213"/>
      <c r="U89" s="209"/>
      <c r="V89" s="213"/>
      <c r="W89" s="214"/>
      <c r="X89" s="245"/>
      <c r="Y89" s="244"/>
      <c r="Z89" s="226" t="str">
        <f>IF(Table1[[#This Row],[Bus Type (A,B,C,D)]]="","",IF(Table1[[#This Row],[New Engine Fuel Type or Bus Eliminated:]]="Bus Eliminated","",Table1[[#This Row],[Bus Type (A,B,C,D)]]))</f>
        <v/>
      </c>
      <c r="AA89" s="209"/>
      <c r="AB89" s="244"/>
      <c r="AC89" s="211"/>
      <c r="AD89" s="211"/>
      <c r="AE89" s="211"/>
      <c r="AF89" s="201"/>
    </row>
    <row r="90" spans="1:32" ht="12" customHeight="1">
      <c r="A90" s="62" t="str">
        <f>IF(A89&lt;Application!$D$24,A89+1,"")</f>
        <v/>
      </c>
      <c r="B90" s="245"/>
      <c r="C90" s="245"/>
      <c r="D90" s="244"/>
      <c r="E90" s="245"/>
      <c r="F90" s="213"/>
      <c r="G90" s="209"/>
      <c r="H90" s="247"/>
      <c r="I90" s="245"/>
      <c r="J90" s="245"/>
      <c r="K90" s="209"/>
      <c r="L90" s="209"/>
      <c r="M90" s="211"/>
      <c r="N90" s="209"/>
      <c r="O90" s="244"/>
      <c r="P90" s="212"/>
      <c r="Q9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0" s="213"/>
      <c r="S90" s="213"/>
      <c r="T90" s="213"/>
      <c r="U90" s="209"/>
      <c r="V90" s="213"/>
      <c r="W90" s="214"/>
      <c r="X90" s="245"/>
      <c r="Y90" s="244"/>
      <c r="Z90" s="226" t="str">
        <f>IF(Table1[[#This Row],[Bus Type (A,B,C,D)]]="","",IF(Table1[[#This Row],[New Engine Fuel Type or Bus Eliminated:]]="Bus Eliminated","",Table1[[#This Row],[Bus Type (A,B,C,D)]]))</f>
        <v/>
      </c>
      <c r="AA90" s="209"/>
      <c r="AB90" s="244"/>
      <c r="AC90" s="211"/>
      <c r="AD90" s="211"/>
      <c r="AE90" s="211"/>
      <c r="AF90" s="201"/>
    </row>
    <row r="91" spans="1:32" ht="12" customHeight="1">
      <c r="A91" s="62" t="str">
        <f>IF(A90&lt;Application!$D$24,A90+1,"")</f>
        <v/>
      </c>
      <c r="B91" s="245"/>
      <c r="C91" s="245"/>
      <c r="D91" s="244"/>
      <c r="E91" s="245"/>
      <c r="F91" s="213"/>
      <c r="G91" s="209"/>
      <c r="H91" s="247"/>
      <c r="I91" s="245"/>
      <c r="J91" s="245"/>
      <c r="K91" s="209"/>
      <c r="L91" s="209"/>
      <c r="M91" s="211"/>
      <c r="N91" s="209"/>
      <c r="O91" s="244"/>
      <c r="P91" s="212"/>
      <c r="Q9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1" s="213"/>
      <c r="S91" s="213"/>
      <c r="T91" s="213"/>
      <c r="U91" s="209"/>
      <c r="V91" s="213"/>
      <c r="W91" s="214"/>
      <c r="X91" s="245"/>
      <c r="Y91" s="244"/>
      <c r="Z91" s="226" t="str">
        <f>IF(Table1[[#This Row],[Bus Type (A,B,C,D)]]="","",IF(Table1[[#This Row],[New Engine Fuel Type or Bus Eliminated:]]="Bus Eliminated","",Table1[[#This Row],[Bus Type (A,B,C,D)]]))</f>
        <v/>
      </c>
      <c r="AA91" s="209"/>
      <c r="AB91" s="244"/>
      <c r="AC91" s="211"/>
      <c r="AD91" s="211"/>
      <c r="AE91" s="211"/>
      <c r="AF91" s="201"/>
    </row>
    <row r="92" spans="1:32" ht="12" customHeight="1">
      <c r="A92" s="62" t="str">
        <f>IF(A91&lt;Application!$D$24,A91+1,"")</f>
        <v/>
      </c>
      <c r="B92" s="245"/>
      <c r="C92" s="245"/>
      <c r="D92" s="244"/>
      <c r="E92" s="245"/>
      <c r="F92" s="213"/>
      <c r="G92" s="209"/>
      <c r="H92" s="247"/>
      <c r="I92" s="245"/>
      <c r="J92" s="245"/>
      <c r="K92" s="209"/>
      <c r="L92" s="209"/>
      <c r="M92" s="211"/>
      <c r="N92" s="209"/>
      <c r="O92" s="244"/>
      <c r="P92" s="212"/>
      <c r="Q9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2" s="213"/>
      <c r="S92" s="213"/>
      <c r="T92" s="213"/>
      <c r="U92" s="209"/>
      <c r="V92" s="213"/>
      <c r="W92" s="214"/>
      <c r="X92" s="245"/>
      <c r="Y92" s="244"/>
      <c r="Z92" s="226" t="str">
        <f>IF(Table1[[#This Row],[Bus Type (A,B,C,D)]]="","",IF(Table1[[#This Row],[New Engine Fuel Type or Bus Eliminated:]]="Bus Eliminated","",Table1[[#This Row],[Bus Type (A,B,C,D)]]))</f>
        <v/>
      </c>
      <c r="AA92" s="209"/>
      <c r="AB92" s="244"/>
      <c r="AC92" s="211"/>
      <c r="AD92" s="211"/>
      <c r="AE92" s="211"/>
      <c r="AF92" s="201"/>
    </row>
    <row r="93" spans="1:32" ht="12" customHeight="1">
      <c r="A93" s="62" t="str">
        <f>IF(A92&lt;Application!$D$24,A92+1,"")</f>
        <v/>
      </c>
      <c r="B93" s="245"/>
      <c r="C93" s="245"/>
      <c r="D93" s="244"/>
      <c r="E93" s="245"/>
      <c r="F93" s="213"/>
      <c r="G93" s="209"/>
      <c r="H93" s="247"/>
      <c r="I93" s="245"/>
      <c r="J93" s="245"/>
      <c r="K93" s="209"/>
      <c r="L93" s="209"/>
      <c r="M93" s="211"/>
      <c r="N93" s="209"/>
      <c r="O93" s="244"/>
      <c r="P93" s="212"/>
      <c r="Q9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3" s="213"/>
      <c r="S93" s="213"/>
      <c r="T93" s="213"/>
      <c r="U93" s="209"/>
      <c r="V93" s="213"/>
      <c r="W93" s="214"/>
      <c r="X93" s="245"/>
      <c r="Y93" s="244"/>
      <c r="Z93" s="226" t="str">
        <f>IF(Table1[[#This Row],[Bus Type (A,B,C,D)]]="","",IF(Table1[[#This Row],[New Engine Fuel Type or Bus Eliminated:]]="Bus Eliminated","",Table1[[#This Row],[Bus Type (A,B,C,D)]]))</f>
        <v/>
      </c>
      <c r="AA93" s="209"/>
      <c r="AB93" s="244"/>
      <c r="AC93" s="211"/>
      <c r="AD93" s="211"/>
      <c r="AE93" s="211"/>
      <c r="AF93" s="201"/>
    </row>
    <row r="94" spans="1:32" ht="12" customHeight="1">
      <c r="A94" s="62" t="str">
        <f>IF(A93&lt;Application!$D$24,A93+1,"")</f>
        <v/>
      </c>
      <c r="B94" s="245"/>
      <c r="C94" s="245"/>
      <c r="D94" s="244"/>
      <c r="E94" s="245"/>
      <c r="F94" s="213"/>
      <c r="G94" s="209"/>
      <c r="H94" s="247"/>
      <c r="I94" s="245"/>
      <c r="J94" s="245"/>
      <c r="K94" s="209"/>
      <c r="L94" s="209"/>
      <c r="M94" s="211"/>
      <c r="N94" s="209"/>
      <c r="O94" s="244"/>
      <c r="P94" s="212"/>
      <c r="Q9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4" s="213"/>
      <c r="S94" s="213"/>
      <c r="T94" s="213"/>
      <c r="U94" s="209"/>
      <c r="V94" s="213"/>
      <c r="W94" s="214"/>
      <c r="X94" s="245"/>
      <c r="Y94" s="244"/>
      <c r="Z94" s="226" t="str">
        <f>IF(Table1[[#This Row],[Bus Type (A,B,C,D)]]="","",IF(Table1[[#This Row],[New Engine Fuel Type or Bus Eliminated:]]="Bus Eliminated","",Table1[[#This Row],[Bus Type (A,B,C,D)]]))</f>
        <v/>
      </c>
      <c r="AA94" s="209"/>
      <c r="AB94" s="244"/>
      <c r="AC94" s="211"/>
      <c r="AD94" s="211"/>
      <c r="AE94" s="211"/>
      <c r="AF94" s="201"/>
    </row>
    <row r="95" spans="1:32" ht="12" customHeight="1">
      <c r="A95" s="62" t="str">
        <f>IF(A94&lt;Application!$D$24,A94+1,"")</f>
        <v/>
      </c>
      <c r="B95" s="245"/>
      <c r="C95" s="245"/>
      <c r="D95" s="244"/>
      <c r="E95" s="245"/>
      <c r="F95" s="213"/>
      <c r="G95" s="209"/>
      <c r="H95" s="247"/>
      <c r="I95" s="245"/>
      <c r="J95" s="245"/>
      <c r="K95" s="209"/>
      <c r="L95" s="209"/>
      <c r="M95" s="211"/>
      <c r="N95" s="209"/>
      <c r="O95" s="244"/>
      <c r="P95" s="212"/>
      <c r="Q9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5" s="213"/>
      <c r="S95" s="213"/>
      <c r="T95" s="213"/>
      <c r="U95" s="209"/>
      <c r="V95" s="213"/>
      <c r="W95" s="214"/>
      <c r="X95" s="245"/>
      <c r="Y95" s="244"/>
      <c r="Z95" s="226" t="str">
        <f>IF(Table1[[#This Row],[Bus Type (A,B,C,D)]]="","",IF(Table1[[#This Row],[New Engine Fuel Type or Bus Eliminated:]]="Bus Eliminated","",Table1[[#This Row],[Bus Type (A,B,C,D)]]))</f>
        <v/>
      </c>
      <c r="AA95" s="209"/>
      <c r="AB95" s="244"/>
      <c r="AC95" s="211"/>
      <c r="AD95" s="211"/>
      <c r="AE95" s="211"/>
      <c r="AF95" s="201"/>
    </row>
    <row r="96" spans="1:32" ht="12" customHeight="1">
      <c r="A96" s="62" t="str">
        <f>IF(A95&lt;Application!$D$24,A95+1,"")</f>
        <v/>
      </c>
      <c r="B96" s="245"/>
      <c r="C96" s="245"/>
      <c r="D96" s="244"/>
      <c r="E96" s="245"/>
      <c r="F96" s="213"/>
      <c r="G96" s="209"/>
      <c r="H96" s="247"/>
      <c r="I96" s="245"/>
      <c r="J96" s="245"/>
      <c r="K96" s="209"/>
      <c r="L96" s="209"/>
      <c r="M96" s="211"/>
      <c r="N96" s="209"/>
      <c r="O96" s="244"/>
      <c r="P96" s="212"/>
      <c r="Q9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6" s="213"/>
      <c r="S96" s="213"/>
      <c r="T96" s="213"/>
      <c r="U96" s="209"/>
      <c r="V96" s="213"/>
      <c r="W96" s="214"/>
      <c r="X96" s="245"/>
      <c r="Y96" s="244"/>
      <c r="Z96" s="226" t="str">
        <f>IF(Table1[[#This Row],[Bus Type (A,B,C,D)]]="","",IF(Table1[[#This Row],[New Engine Fuel Type or Bus Eliminated:]]="Bus Eliminated","",Table1[[#This Row],[Bus Type (A,B,C,D)]]))</f>
        <v/>
      </c>
      <c r="AA96" s="209"/>
      <c r="AB96" s="244"/>
      <c r="AC96" s="211"/>
      <c r="AD96" s="211"/>
      <c r="AE96" s="211"/>
      <c r="AF96" s="201"/>
    </row>
    <row r="97" spans="1:32" ht="12" customHeight="1">
      <c r="A97" s="62" t="str">
        <f>IF(A96&lt;Application!$D$24,A96+1,"")</f>
        <v/>
      </c>
      <c r="B97" s="245"/>
      <c r="C97" s="245"/>
      <c r="D97" s="244"/>
      <c r="E97" s="245"/>
      <c r="F97" s="213"/>
      <c r="G97" s="209"/>
      <c r="H97" s="247"/>
      <c r="I97" s="245"/>
      <c r="J97" s="245"/>
      <c r="K97" s="209"/>
      <c r="L97" s="209"/>
      <c r="M97" s="211"/>
      <c r="N97" s="209"/>
      <c r="O97" s="244"/>
      <c r="P97" s="212"/>
      <c r="Q9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7" s="213"/>
      <c r="S97" s="213"/>
      <c r="T97" s="213"/>
      <c r="U97" s="209"/>
      <c r="V97" s="213"/>
      <c r="W97" s="214"/>
      <c r="X97" s="245"/>
      <c r="Y97" s="244"/>
      <c r="Z97" s="226" t="str">
        <f>IF(Table1[[#This Row],[Bus Type (A,B,C,D)]]="","",IF(Table1[[#This Row],[New Engine Fuel Type or Bus Eliminated:]]="Bus Eliminated","",Table1[[#This Row],[Bus Type (A,B,C,D)]]))</f>
        <v/>
      </c>
      <c r="AA97" s="209"/>
      <c r="AB97" s="244"/>
      <c r="AC97" s="211"/>
      <c r="AD97" s="211"/>
      <c r="AE97" s="211"/>
      <c r="AF97" s="201"/>
    </row>
    <row r="98" spans="1:32" ht="12" customHeight="1">
      <c r="A98" s="62" t="str">
        <f>IF(A97&lt;Application!$D$24,A97+1,"")</f>
        <v/>
      </c>
      <c r="B98" s="245"/>
      <c r="C98" s="245"/>
      <c r="D98" s="244"/>
      <c r="E98" s="245"/>
      <c r="F98" s="213"/>
      <c r="G98" s="209"/>
      <c r="H98" s="247"/>
      <c r="I98" s="245"/>
      <c r="J98" s="245"/>
      <c r="K98" s="209"/>
      <c r="L98" s="209"/>
      <c r="M98" s="211"/>
      <c r="N98" s="209"/>
      <c r="O98" s="244"/>
      <c r="P98" s="212"/>
      <c r="Q9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8" s="213"/>
      <c r="S98" s="213"/>
      <c r="T98" s="213"/>
      <c r="U98" s="209"/>
      <c r="V98" s="213"/>
      <c r="W98" s="214"/>
      <c r="X98" s="245"/>
      <c r="Y98" s="244"/>
      <c r="Z98" s="226" t="str">
        <f>IF(Table1[[#This Row],[Bus Type (A,B,C,D)]]="","",IF(Table1[[#This Row],[New Engine Fuel Type or Bus Eliminated:]]="Bus Eliminated","",Table1[[#This Row],[Bus Type (A,B,C,D)]]))</f>
        <v/>
      </c>
      <c r="AA98" s="209"/>
      <c r="AB98" s="244"/>
      <c r="AC98" s="211"/>
      <c r="AD98" s="211"/>
      <c r="AE98" s="211"/>
      <c r="AF98" s="201"/>
    </row>
    <row r="99" spans="1:32" ht="12" customHeight="1">
      <c r="A99" s="62" t="str">
        <f>IF(A98&lt;Application!$D$24,A98+1,"")</f>
        <v/>
      </c>
      <c r="B99" s="245"/>
      <c r="C99" s="245"/>
      <c r="D99" s="244"/>
      <c r="E99" s="245"/>
      <c r="F99" s="213"/>
      <c r="G99" s="209"/>
      <c r="H99" s="247"/>
      <c r="I99" s="245"/>
      <c r="J99" s="245"/>
      <c r="K99" s="209"/>
      <c r="L99" s="209"/>
      <c r="M99" s="211"/>
      <c r="N99" s="209"/>
      <c r="O99" s="244"/>
      <c r="P99" s="212"/>
      <c r="Q9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9" s="213"/>
      <c r="S99" s="213"/>
      <c r="T99" s="213"/>
      <c r="U99" s="209"/>
      <c r="V99" s="213"/>
      <c r="W99" s="214"/>
      <c r="X99" s="245"/>
      <c r="Y99" s="244"/>
      <c r="Z99" s="226" t="str">
        <f>IF(Table1[[#This Row],[Bus Type (A,B,C,D)]]="","",IF(Table1[[#This Row],[New Engine Fuel Type or Bus Eliminated:]]="Bus Eliminated","",Table1[[#This Row],[Bus Type (A,B,C,D)]]))</f>
        <v/>
      </c>
      <c r="AA99" s="209"/>
      <c r="AB99" s="244"/>
      <c r="AC99" s="211"/>
      <c r="AD99" s="211"/>
      <c r="AE99" s="211"/>
      <c r="AF99" s="201"/>
    </row>
    <row r="100" spans="1:32" ht="12" customHeight="1">
      <c r="A100" s="62" t="str">
        <f>IF(A99&lt;Application!$D$24,A99+1,"")</f>
        <v/>
      </c>
      <c r="B100" s="245"/>
      <c r="C100" s="245"/>
      <c r="D100" s="244"/>
      <c r="E100" s="245"/>
      <c r="F100" s="213"/>
      <c r="G100" s="209"/>
      <c r="H100" s="247"/>
      <c r="I100" s="245"/>
      <c r="J100" s="245"/>
      <c r="K100" s="209"/>
      <c r="L100" s="209"/>
      <c r="M100" s="211"/>
      <c r="N100" s="209"/>
      <c r="O100" s="244"/>
      <c r="P100" s="212"/>
      <c r="Q10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0" s="213"/>
      <c r="S100" s="213"/>
      <c r="T100" s="213"/>
      <c r="U100" s="209"/>
      <c r="V100" s="213"/>
      <c r="W100" s="214"/>
      <c r="X100" s="245"/>
      <c r="Y100" s="244"/>
      <c r="Z100" s="226" t="str">
        <f>IF(Table1[[#This Row],[Bus Type (A,B,C,D)]]="","",IF(Table1[[#This Row],[New Engine Fuel Type or Bus Eliminated:]]="Bus Eliminated","",Table1[[#This Row],[Bus Type (A,B,C,D)]]))</f>
        <v/>
      </c>
      <c r="AA100" s="209"/>
      <c r="AB100" s="244"/>
      <c r="AC100" s="211"/>
      <c r="AD100" s="211"/>
      <c r="AE100" s="211"/>
      <c r="AF100" s="201"/>
    </row>
    <row r="101" spans="1:32" ht="12" customHeight="1">
      <c r="A101" s="62" t="str">
        <f>IF(A100&lt;Application!$D$24,A100+1,"")</f>
        <v/>
      </c>
      <c r="B101" s="245"/>
      <c r="C101" s="245"/>
      <c r="D101" s="244"/>
      <c r="E101" s="245"/>
      <c r="F101" s="213"/>
      <c r="G101" s="209"/>
      <c r="H101" s="247"/>
      <c r="I101" s="245"/>
      <c r="J101" s="245"/>
      <c r="K101" s="209"/>
      <c r="L101" s="209"/>
      <c r="M101" s="211"/>
      <c r="N101" s="209"/>
      <c r="O101" s="244"/>
      <c r="P101" s="212"/>
      <c r="Q10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1" s="213"/>
      <c r="S101" s="213"/>
      <c r="T101" s="213"/>
      <c r="U101" s="209"/>
      <c r="V101" s="213"/>
      <c r="W101" s="214"/>
      <c r="X101" s="245"/>
      <c r="Y101" s="244"/>
      <c r="Z101" s="226" t="str">
        <f>IF(Table1[[#This Row],[Bus Type (A,B,C,D)]]="","",IF(Table1[[#This Row],[New Engine Fuel Type or Bus Eliminated:]]="Bus Eliminated","",Table1[[#This Row],[Bus Type (A,B,C,D)]]))</f>
        <v/>
      </c>
      <c r="AA101" s="209"/>
      <c r="AB101" s="244"/>
      <c r="AC101" s="211"/>
      <c r="AD101" s="211"/>
      <c r="AE101" s="211"/>
      <c r="AF101" s="201"/>
    </row>
    <row r="102" spans="1:32" ht="12" customHeight="1">
      <c r="A102" s="62" t="str">
        <f>IF(A101&lt;Application!$D$24,A101+1,"")</f>
        <v/>
      </c>
      <c r="B102" s="245"/>
      <c r="C102" s="245"/>
      <c r="D102" s="244"/>
      <c r="E102" s="245"/>
      <c r="F102" s="213"/>
      <c r="G102" s="209"/>
      <c r="H102" s="247"/>
      <c r="I102" s="245"/>
      <c r="J102" s="245"/>
      <c r="K102" s="209"/>
      <c r="L102" s="209"/>
      <c r="M102" s="211"/>
      <c r="N102" s="209"/>
      <c r="O102" s="244"/>
      <c r="P102" s="212"/>
      <c r="Q10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2" s="213"/>
      <c r="S102" s="213"/>
      <c r="T102" s="213"/>
      <c r="U102" s="209"/>
      <c r="V102" s="213"/>
      <c r="W102" s="214"/>
      <c r="X102" s="245"/>
      <c r="Y102" s="244"/>
      <c r="Z102" s="226" t="str">
        <f>IF(Table1[[#This Row],[Bus Type (A,B,C,D)]]="","",IF(Table1[[#This Row],[New Engine Fuel Type or Bus Eliminated:]]="Bus Eliminated","",Table1[[#This Row],[Bus Type (A,B,C,D)]]))</f>
        <v/>
      </c>
      <c r="AA102" s="209"/>
      <c r="AB102" s="244"/>
      <c r="AC102" s="211"/>
      <c r="AD102" s="211"/>
      <c r="AE102" s="211"/>
      <c r="AF102" s="201"/>
    </row>
    <row r="103" spans="1:32" ht="12" customHeight="1">
      <c r="A103" s="62" t="str">
        <f>IF(A102&lt;Application!$D$24,A102+1,"")</f>
        <v/>
      </c>
      <c r="B103" s="245"/>
      <c r="C103" s="245"/>
      <c r="D103" s="244"/>
      <c r="E103" s="245"/>
      <c r="F103" s="213"/>
      <c r="G103" s="209"/>
      <c r="H103" s="247"/>
      <c r="I103" s="245"/>
      <c r="J103" s="245"/>
      <c r="K103" s="209"/>
      <c r="L103" s="209"/>
      <c r="M103" s="211"/>
      <c r="N103" s="209"/>
      <c r="O103" s="244"/>
      <c r="P103" s="212"/>
      <c r="Q10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3" s="213"/>
      <c r="S103" s="213"/>
      <c r="T103" s="213"/>
      <c r="U103" s="209"/>
      <c r="V103" s="213"/>
      <c r="W103" s="214"/>
      <c r="X103" s="245"/>
      <c r="Y103" s="244"/>
      <c r="Z103" s="226" t="str">
        <f>IF(Table1[[#This Row],[Bus Type (A,B,C,D)]]="","",IF(Table1[[#This Row],[New Engine Fuel Type or Bus Eliminated:]]="Bus Eliminated","",Table1[[#This Row],[Bus Type (A,B,C,D)]]))</f>
        <v/>
      </c>
      <c r="AA103" s="209"/>
      <c r="AB103" s="244"/>
      <c r="AC103" s="211"/>
      <c r="AD103" s="211"/>
      <c r="AE103" s="211"/>
      <c r="AF103" s="201"/>
    </row>
    <row r="104" spans="1:32" ht="12" customHeight="1">
      <c r="A104" s="62" t="str">
        <f>IF(A103&lt;Application!$D$24,A103+1,"")</f>
        <v/>
      </c>
      <c r="B104" s="245"/>
      <c r="C104" s="245"/>
      <c r="D104" s="244"/>
      <c r="E104" s="245"/>
      <c r="F104" s="213"/>
      <c r="G104" s="209"/>
      <c r="H104" s="247"/>
      <c r="I104" s="245"/>
      <c r="J104" s="245"/>
      <c r="K104" s="209"/>
      <c r="L104" s="209"/>
      <c r="M104" s="211"/>
      <c r="N104" s="209"/>
      <c r="O104" s="244"/>
      <c r="P104" s="212"/>
      <c r="Q10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4" s="213"/>
      <c r="S104" s="213"/>
      <c r="T104" s="213"/>
      <c r="U104" s="209"/>
      <c r="V104" s="213"/>
      <c r="W104" s="214"/>
      <c r="X104" s="245"/>
      <c r="Y104" s="244"/>
      <c r="Z104" s="226" t="str">
        <f>IF(Table1[[#This Row],[Bus Type (A,B,C,D)]]="","",IF(Table1[[#This Row],[New Engine Fuel Type or Bus Eliminated:]]="Bus Eliminated","",Table1[[#This Row],[Bus Type (A,B,C,D)]]))</f>
        <v/>
      </c>
      <c r="AA104" s="209"/>
      <c r="AB104" s="244"/>
      <c r="AC104" s="211"/>
      <c r="AD104" s="211"/>
      <c r="AE104" s="211"/>
      <c r="AF104" s="201"/>
    </row>
    <row r="105" spans="1:32" ht="12" customHeight="1">
      <c r="A105" s="62" t="str">
        <f>IF(A104&lt;Application!$D$24,A104+1,"")</f>
        <v/>
      </c>
      <c r="B105" s="245"/>
      <c r="C105" s="245"/>
      <c r="D105" s="244"/>
      <c r="E105" s="245"/>
      <c r="F105" s="213"/>
      <c r="G105" s="209"/>
      <c r="H105" s="247"/>
      <c r="I105" s="245"/>
      <c r="J105" s="245"/>
      <c r="K105" s="209"/>
      <c r="L105" s="209"/>
      <c r="M105" s="211"/>
      <c r="N105" s="209"/>
      <c r="O105" s="244"/>
      <c r="P105" s="212"/>
      <c r="Q10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5" s="213"/>
      <c r="S105" s="213"/>
      <c r="T105" s="213"/>
      <c r="U105" s="209"/>
      <c r="V105" s="213"/>
      <c r="W105" s="214"/>
      <c r="X105" s="245"/>
      <c r="Y105" s="244"/>
      <c r="Z105" s="226" t="str">
        <f>IF(Table1[[#This Row],[Bus Type (A,B,C,D)]]="","",IF(Table1[[#This Row],[New Engine Fuel Type or Bus Eliminated:]]="Bus Eliminated","",Table1[[#This Row],[Bus Type (A,B,C,D)]]))</f>
        <v/>
      </c>
      <c r="AA105" s="209"/>
      <c r="AB105" s="244"/>
      <c r="AC105" s="211"/>
      <c r="AD105" s="211"/>
      <c r="AE105" s="211"/>
      <c r="AF105" s="201"/>
    </row>
    <row r="106" spans="1:32" ht="12" customHeight="1">
      <c r="A106" s="62" t="str">
        <f>IF(A105&lt;Application!$D$24,A105+1,"")</f>
        <v/>
      </c>
      <c r="B106" s="245"/>
      <c r="C106" s="245"/>
      <c r="D106" s="244"/>
      <c r="E106" s="245"/>
      <c r="F106" s="213"/>
      <c r="G106" s="209"/>
      <c r="H106" s="247"/>
      <c r="I106" s="245"/>
      <c r="J106" s="245"/>
      <c r="K106" s="209"/>
      <c r="L106" s="209"/>
      <c r="M106" s="211"/>
      <c r="N106" s="209"/>
      <c r="O106" s="244"/>
      <c r="P106" s="212"/>
      <c r="Q10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6" s="213"/>
      <c r="S106" s="213"/>
      <c r="T106" s="213"/>
      <c r="U106" s="209"/>
      <c r="V106" s="213"/>
      <c r="W106" s="214"/>
      <c r="X106" s="245"/>
      <c r="Y106" s="244"/>
      <c r="Z106" s="226" t="str">
        <f>IF(Table1[[#This Row],[Bus Type (A,B,C,D)]]="","",IF(Table1[[#This Row],[New Engine Fuel Type or Bus Eliminated:]]="Bus Eliminated","",Table1[[#This Row],[Bus Type (A,B,C,D)]]))</f>
        <v/>
      </c>
      <c r="AA106" s="209"/>
      <c r="AB106" s="244"/>
      <c r="AC106" s="211"/>
      <c r="AD106" s="211"/>
      <c r="AE106" s="211"/>
      <c r="AF106" s="201"/>
    </row>
    <row r="107" spans="1:32" ht="12" customHeight="1">
      <c r="A107" s="62" t="str">
        <f>IF(A106&lt;Application!$D$24,A106+1,"")</f>
        <v/>
      </c>
      <c r="B107" s="245"/>
      <c r="C107" s="245"/>
      <c r="D107" s="244"/>
      <c r="E107" s="245"/>
      <c r="F107" s="213"/>
      <c r="G107" s="209"/>
      <c r="H107" s="247"/>
      <c r="I107" s="245"/>
      <c r="J107" s="245"/>
      <c r="K107" s="209"/>
      <c r="L107" s="209"/>
      <c r="M107" s="211"/>
      <c r="N107" s="209"/>
      <c r="O107" s="244"/>
      <c r="P107" s="212"/>
      <c r="Q10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7" s="213"/>
      <c r="S107" s="213"/>
      <c r="T107" s="213"/>
      <c r="U107" s="209"/>
      <c r="V107" s="213"/>
      <c r="W107" s="214"/>
      <c r="X107" s="245"/>
      <c r="Y107" s="244"/>
      <c r="Z107" s="226" t="str">
        <f>IF(Table1[[#This Row],[Bus Type (A,B,C,D)]]="","",IF(Table1[[#This Row],[New Engine Fuel Type or Bus Eliminated:]]="Bus Eliminated","",Table1[[#This Row],[Bus Type (A,B,C,D)]]))</f>
        <v/>
      </c>
      <c r="AA107" s="209"/>
      <c r="AB107" s="244"/>
      <c r="AC107" s="211"/>
      <c r="AD107" s="211"/>
      <c r="AE107" s="211"/>
      <c r="AF107" s="201"/>
    </row>
    <row r="108" spans="1:32" ht="12" customHeight="1">
      <c r="A108" s="62" t="str">
        <f>IF(A107&lt;Application!$D$24,A107+1,"")</f>
        <v/>
      </c>
      <c r="B108" s="245"/>
      <c r="C108" s="245"/>
      <c r="D108" s="244"/>
      <c r="E108" s="245"/>
      <c r="F108" s="213"/>
      <c r="G108" s="209"/>
      <c r="H108" s="247"/>
      <c r="I108" s="245"/>
      <c r="J108" s="245"/>
      <c r="K108" s="209"/>
      <c r="L108" s="209"/>
      <c r="M108" s="211"/>
      <c r="N108" s="209"/>
      <c r="O108" s="244"/>
      <c r="P108" s="212"/>
      <c r="Q10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8" s="213"/>
      <c r="S108" s="213"/>
      <c r="T108" s="213"/>
      <c r="U108" s="209"/>
      <c r="V108" s="213"/>
      <c r="W108" s="214"/>
      <c r="X108" s="245"/>
      <c r="Y108" s="244"/>
      <c r="Z108" s="226" t="str">
        <f>IF(Table1[[#This Row],[Bus Type (A,B,C,D)]]="","",IF(Table1[[#This Row],[New Engine Fuel Type or Bus Eliminated:]]="Bus Eliminated","",Table1[[#This Row],[Bus Type (A,B,C,D)]]))</f>
        <v/>
      </c>
      <c r="AA108" s="209"/>
      <c r="AB108" s="244"/>
      <c r="AC108" s="211"/>
      <c r="AD108" s="211"/>
      <c r="AE108" s="211"/>
      <c r="AF108" s="201"/>
    </row>
    <row r="109" spans="1:32" ht="12" customHeight="1">
      <c r="A109" s="62" t="str">
        <f>IF(A108&lt;Application!$D$24,A108+1,"")</f>
        <v/>
      </c>
      <c r="B109" s="245"/>
      <c r="C109" s="245"/>
      <c r="D109" s="244"/>
      <c r="E109" s="245"/>
      <c r="F109" s="213"/>
      <c r="G109" s="209"/>
      <c r="H109" s="247"/>
      <c r="I109" s="245"/>
      <c r="J109" s="245"/>
      <c r="K109" s="209"/>
      <c r="L109" s="209"/>
      <c r="M109" s="211"/>
      <c r="N109" s="209"/>
      <c r="O109" s="244"/>
      <c r="P109" s="212"/>
      <c r="Q10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9" s="213"/>
      <c r="S109" s="213"/>
      <c r="T109" s="213"/>
      <c r="U109" s="209"/>
      <c r="V109" s="213"/>
      <c r="W109" s="214"/>
      <c r="X109" s="245"/>
      <c r="Y109" s="244"/>
      <c r="Z109" s="226" t="str">
        <f>IF(Table1[[#This Row],[Bus Type (A,B,C,D)]]="","",IF(Table1[[#This Row],[New Engine Fuel Type or Bus Eliminated:]]="Bus Eliminated","",Table1[[#This Row],[Bus Type (A,B,C,D)]]))</f>
        <v/>
      </c>
      <c r="AA109" s="209"/>
      <c r="AB109" s="244"/>
      <c r="AC109" s="211"/>
      <c r="AD109" s="211"/>
      <c r="AE109" s="211"/>
      <c r="AF109" s="201"/>
    </row>
    <row r="110" spans="1:32" ht="12" customHeight="1">
      <c r="A110" s="62" t="str">
        <f>IF(A109&lt;Application!$D$24,A109+1,"")</f>
        <v/>
      </c>
      <c r="B110" s="245"/>
      <c r="C110" s="245"/>
      <c r="D110" s="244"/>
      <c r="E110" s="245"/>
      <c r="F110" s="213"/>
      <c r="G110" s="209"/>
      <c r="H110" s="247"/>
      <c r="I110" s="245"/>
      <c r="J110" s="245"/>
      <c r="K110" s="209"/>
      <c r="L110" s="209"/>
      <c r="M110" s="211"/>
      <c r="N110" s="209"/>
      <c r="O110" s="244"/>
      <c r="P110" s="212"/>
      <c r="Q11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0" s="213"/>
      <c r="S110" s="213"/>
      <c r="T110" s="213"/>
      <c r="U110" s="209"/>
      <c r="V110" s="213"/>
      <c r="W110" s="214"/>
      <c r="X110" s="245"/>
      <c r="Y110" s="244"/>
      <c r="Z110" s="226" t="str">
        <f>IF(Table1[[#This Row],[Bus Type (A,B,C,D)]]="","",IF(Table1[[#This Row],[New Engine Fuel Type or Bus Eliminated:]]="Bus Eliminated","",Table1[[#This Row],[Bus Type (A,B,C,D)]]))</f>
        <v/>
      </c>
      <c r="AA110" s="209"/>
      <c r="AB110" s="244"/>
      <c r="AC110" s="211"/>
      <c r="AD110" s="211"/>
      <c r="AE110" s="211"/>
      <c r="AF110" s="201"/>
    </row>
    <row r="111" spans="1:32" ht="12" customHeight="1">
      <c r="A111" s="62" t="str">
        <f>IF(A110&lt;Application!$D$24,A110+1,"")</f>
        <v/>
      </c>
      <c r="B111" s="245"/>
      <c r="C111" s="245"/>
      <c r="D111" s="244"/>
      <c r="E111" s="245"/>
      <c r="F111" s="213"/>
      <c r="G111" s="209"/>
      <c r="H111" s="247"/>
      <c r="I111" s="245"/>
      <c r="J111" s="245"/>
      <c r="K111" s="209"/>
      <c r="L111" s="209"/>
      <c r="M111" s="211"/>
      <c r="N111" s="209"/>
      <c r="O111" s="244"/>
      <c r="P111" s="212"/>
      <c r="Q11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1" s="213"/>
      <c r="S111" s="213"/>
      <c r="T111" s="213"/>
      <c r="U111" s="209"/>
      <c r="V111" s="213"/>
      <c r="W111" s="214"/>
      <c r="X111" s="245"/>
      <c r="Y111" s="244"/>
      <c r="Z111" s="226" t="str">
        <f>IF(Table1[[#This Row],[Bus Type (A,B,C,D)]]="","",IF(Table1[[#This Row],[New Engine Fuel Type or Bus Eliminated:]]="Bus Eliminated","",Table1[[#This Row],[Bus Type (A,B,C,D)]]))</f>
        <v/>
      </c>
      <c r="AA111" s="209"/>
      <c r="AB111" s="244"/>
      <c r="AC111" s="211"/>
      <c r="AD111" s="211"/>
      <c r="AE111" s="211"/>
      <c r="AF111" s="201"/>
    </row>
    <row r="112" spans="1:32" ht="12" customHeight="1">
      <c r="A112" s="62" t="str">
        <f>IF(A111&lt;Application!$D$24,A111+1,"")</f>
        <v/>
      </c>
      <c r="B112" s="245"/>
      <c r="C112" s="245"/>
      <c r="D112" s="244"/>
      <c r="E112" s="245"/>
      <c r="F112" s="213"/>
      <c r="G112" s="209"/>
      <c r="H112" s="247"/>
      <c r="I112" s="245"/>
      <c r="J112" s="245"/>
      <c r="K112" s="209"/>
      <c r="L112" s="209"/>
      <c r="M112" s="211"/>
      <c r="N112" s="209"/>
      <c r="O112" s="244"/>
      <c r="P112" s="212"/>
      <c r="Q11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2" s="213"/>
      <c r="S112" s="213"/>
      <c r="T112" s="213"/>
      <c r="U112" s="209"/>
      <c r="V112" s="213"/>
      <c r="W112" s="214"/>
      <c r="X112" s="245"/>
      <c r="Y112" s="244"/>
      <c r="Z112" s="226" t="str">
        <f>IF(Table1[[#This Row],[Bus Type (A,B,C,D)]]="","",IF(Table1[[#This Row],[New Engine Fuel Type or Bus Eliminated:]]="Bus Eliminated","",Table1[[#This Row],[Bus Type (A,B,C,D)]]))</f>
        <v/>
      </c>
      <c r="AA112" s="209"/>
      <c r="AB112" s="244"/>
      <c r="AC112" s="211"/>
      <c r="AD112" s="211"/>
      <c r="AE112" s="211"/>
      <c r="AF112" s="201"/>
    </row>
    <row r="113" spans="1:32" ht="12" customHeight="1">
      <c r="A113" s="62" t="str">
        <f>IF(A112&lt;Application!$D$24,A112+1,"")</f>
        <v/>
      </c>
      <c r="B113" s="245"/>
      <c r="C113" s="245"/>
      <c r="D113" s="244"/>
      <c r="E113" s="245"/>
      <c r="F113" s="213"/>
      <c r="G113" s="209"/>
      <c r="H113" s="247"/>
      <c r="I113" s="245"/>
      <c r="J113" s="245"/>
      <c r="K113" s="209"/>
      <c r="L113" s="209"/>
      <c r="M113" s="211"/>
      <c r="N113" s="209"/>
      <c r="O113" s="244"/>
      <c r="P113" s="212"/>
      <c r="Q11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3" s="213"/>
      <c r="S113" s="213"/>
      <c r="T113" s="213"/>
      <c r="U113" s="209"/>
      <c r="V113" s="213"/>
      <c r="W113" s="214"/>
      <c r="X113" s="245"/>
      <c r="Y113" s="244"/>
      <c r="Z113" s="226" t="str">
        <f>IF(Table1[[#This Row],[Bus Type (A,B,C,D)]]="","",IF(Table1[[#This Row],[New Engine Fuel Type or Bus Eliminated:]]="Bus Eliminated","",Table1[[#This Row],[Bus Type (A,B,C,D)]]))</f>
        <v/>
      </c>
      <c r="AA113" s="209"/>
      <c r="AB113" s="244"/>
      <c r="AC113" s="211"/>
      <c r="AD113" s="211"/>
      <c r="AE113" s="211"/>
      <c r="AF113" s="201"/>
    </row>
    <row r="114" spans="1:32" ht="12" customHeight="1">
      <c r="A114" s="62" t="str">
        <f>IF(A113&lt;Application!$D$24,A113+1,"")</f>
        <v/>
      </c>
      <c r="B114" s="245"/>
      <c r="C114" s="245"/>
      <c r="D114" s="244"/>
      <c r="E114" s="245"/>
      <c r="F114" s="213"/>
      <c r="G114" s="209"/>
      <c r="H114" s="247"/>
      <c r="I114" s="245"/>
      <c r="J114" s="245"/>
      <c r="K114" s="209"/>
      <c r="L114" s="209"/>
      <c r="M114" s="211"/>
      <c r="N114" s="209"/>
      <c r="O114" s="244"/>
      <c r="P114" s="212"/>
      <c r="Q11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4" s="213"/>
      <c r="S114" s="213"/>
      <c r="T114" s="213"/>
      <c r="U114" s="209"/>
      <c r="V114" s="213"/>
      <c r="W114" s="214"/>
      <c r="X114" s="245"/>
      <c r="Y114" s="244"/>
      <c r="Z114" s="226" t="str">
        <f>IF(Table1[[#This Row],[Bus Type (A,B,C,D)]]="","",IF(Table1[[#This Row],[New Engine Fuel Type or Bus Eliminated:]]="Bus Eliminated","",Table1[[#This Row],[Bus Type (A,B,C,D)]]))</f>
        <v/>
      </c>
      <c r="AA114" s="209"/>
      <c r="AB114" s="244"/>
      <c r="AC114" s="211"/>
      <c r="AD114" s="211"/>
      <c r="AE114" s="211"/>
      <c r="AF114" s="201"/>
    </row>
    <row r="115" spans="1:32" ht="12" customHeight="1">
      <c r="A115" s="62" t="str">
        <f>IF(A114&lt;Application!$D$24,A114+1,"")</f>
        <v/>
      </c>
      <c r="B115" s="245"/>
      <c r="C115" s="245"/>
      <c r="D115" s="244"/>
      <c r="E115" s="245"/>
      <c r="F115" s="213"/>
      <c r="G115" s="209"/>
      <c r="H115" s="247"/>
      <c r="I115" s="245"/>
      <c r="J115" s="245"/>
      <c r="K115" s="209"/>
      <c r="L115" s="209"/>
      <c r="M115" s="211"/>
      <c r="N115" s="209"/>
      <c r="O115" s="244"/>
      <c r="P115" s="212"/>
      <c r="Q11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5" s="213"/>
      <c r="S115" s="213"/>
      <c r="T115" s="213"/>
      <c r="U115" s="209"/>
      <c r="V115" s="213"/>
      <c r="W115" s="214"/>
      <c r="X115" s="245"/>
      <c r="Y115" s="244"/>
      <c r="Z115" s="226" t="str">
        <f>IF(Table1[[#This Row],[Bus Type (A,B,C,D)]]="","",IF(Table1[[#This Row],[New Engine Fuel Type or Bus Eliminated:]]="Bus Eliminated","",Table1[[#This Row],[Bus Type (A,B,C,D)]]))</f>
        <v/>
      </c>
      <c r="AA115" s="209"/>
      <c r="AB115" s="244"/>
      <c r="AC115" s="211"/>
      <c r="AD115" s="211"/>
      <c r="AE115" s="211"/>
      <c r="AF115" s="201"/>
    </row>
    <row r="116" spans="1:32" ht="12" customHeight="1">
      <c r="A116" s="62" t="str">
        <f>IF(A115&lt;Application!$D$24,A115+1,"")</f>
        <v/>
      </c>
      <c r="B116" s="245"/>
      <c r="C116" s="245"/>
      <c r="D116" s="244"/>
      <c r="E116" s="245"/>
      <c r="F116" s="213"/>
      <c r="G116" s="209"/>
      <c r="H116" s="247"/>
      <c r="I116" s="245"/>
      <c r="J116" s="245"/>
      <c r="K116" s="209"/>
      <c r="L116" s="209"/>
      <c r="M116" s="211"/>
      <c r="N116" s="209"/>
      <c r="O116" s="244"/>
      <c r="P116" s="212"/>
      <c r="Q11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6" s="213"/>
      <c r="S116" s="213"/>
      <c r="T116" s="213"/>
      <c r="U116" s="209"/>
      <c r="V116" s="213"/>
      <c r="W116" s="214"/>
      <c r="X116" s="245"/>
      <c r="Y116" s="244"/>
      <c r="Z116" s="226" t="str">
        <f>IF(Table1[[#This Row],[Bus Type (A,B,C,D)]]="","",IF(Table1[[#This Row],[New Engine Fuel Type or Bus Eliminated:]]="Bus Eliminated","",Table1[[#This Row],[Bus Type (A,B,C,D)]]))</f>
        <v/>
      </c>
      <c r="AA116" s="209"/>
      <c r="AB116" s="244"/>
      <c r="AC116" s="211"/>
      <c r="AD116" s="211"/>
      <c r="AE116" s="211"/>
      <c r="AF116" s="201"/>
    </row>
    <row r="117" spans="1:32" ht="12" customHeight="1">
      <c r="A117" s="62" t="str">
        <f>IF(A116&lt;Application!$D$24,A116+1,"")</f>
        <v/>
      </c>
      <c r="B117" s="245"/>
      <c r="C117" s="245"/>
      <c r="D117" s="244"/>
      <c r="E117" s="245"/>
      <c r="F117" s="213"/>
      <c r="G117" s="209"/>
      <c r="H117" s="247"/>
      <c r="I117" s="245"/>
      <c r="J117" s="245"/>
      <c r="K117" s="209"/>
      <c r="L117" s="209"/>
      <c r="M117" s="211"/>
      <c r="N117" s="209"/>
      <c r="O117" s="244"/>
      <c r="P117" s="212"/>
      <c r="Q11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7" s="213"/>
      <c r="S117" s="213"/>
      <c r="T117" s="213"/>
      <c r="U117" s="209"/>
      <c r="V117" s="213"/>
      <c r="W117" s="214"/>
      <c r="X117" s="245"/>
      <c r="Y117" s="244"/>
      <c r="Z117" s="226" t="str">
        <f>IF(Table1[[#This Row],[Bus Type (A,B,C,D)]]="","",IF(Table1[[#This Row],[New Engine Fuel Type or Bus Eliminated:]]="Bus Eliminated","",Table1[[#This Row],[Bus Type (A,B,C,D)]]))</f>
        <v/>
      </c>
      <c r="AA117" s="209"/>
      <c r="AB117" s="244"/>
      <c r="AC117" s="211"/>
      <c r="AD117" s="211"/>
      <c r="AE117" s="211"/>
      <c r="AF117" s="201"/>
    </row>
    <row r="118" spans="1:32" ht="12" customHeight="1">
      <c r="A118" s="62" t="str">
        <f>IF(A117&lt;Application!$D$24,A117+1,"")</f>
        <v/>
      </c>
      <c r="B118" s="245"/>
      <c r="C118" s="245"/>
      <c r="D118" s="244"/>
      <c r="E118" s="245"/>
      <c r="F118" s="213"/>
      <c r="G118" s="209"/>
      <c r="H118" s="247"/>
      <c r="I118" s="245"/>
      <c r="J118" s="245"/>
      <c r="K118" s="209"/>
      <c r="L118" s="209"/>
      <c r="M118" s="211"/>
      <c r="N118" s="209"/>
      <c r="O118" s="244"/>
      <c r="P118" s="212"/>
      <c r="Q11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8" s="213"/>
      <c r="S118" s="213"/>
      <c r="T118" s="213"/>
      <c r="U118" s="209"/>
      <c r="V118" s="213"/>
      <c r="W118" s="214"/>
      <c r="X118" s="245"/>
      <c r="Y118" s="244"/>
      <c r="Z118" s="226" t="str">
        <f>IF(Table1[[#This Row],[Bus Type (A,B,C,D)]]="","",IF(Table1[[#This Row],[New Engine Fuel Type or Bus Eliminated:]]="Bus Eliminated","",Table1[[#This Row],[Bus Type (A,B,C,D)]]))</f>
        <v/>
      </c>
      <c r="AA118" s="209"/>
      <c r="AB118" s="244"/>
      <c r="AC118" s="211"/>
      <c r="AD118" s="211"/>
      <c r="AE118" s="211"/>
      <c r="AF118" s="201"/>
    </row>
    <row r="119" spans="1:32" ht="12" customHeight="1">
      <c r="A119" s="62" t="str">
        <f>IF(A118&lt;Application!$D$24,A118+1,"")</f>
        <v/>
      </c>
      <c r="B119" s="245"/>
      <c r="C119" s="245"/>
      <c r="D119" s="244"/>
      <c r="E119" s="245"/>
      <c r="F119" s="213"/>
      <c r="G119" s="209"/>
      <c r="H119" s="247"/>
      <c r="I119" s="245"/>
      <c r="J119" s="245"/>
      <c r="K119" s="209"/>
      <c r="L119" s="209"/>
      <c r="M119" s="211"/>
      <c r="N119" s="209"/>
      <c r="O119" s="244"/>
      <c r="P119" s="212"/>
      <c r="Q11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9" s="213"/>
      <c r="S119" s="213"/>
      <c r="T119" s="213"/>
      <c r="U119" s="209"/>
      <c r="V119" s="213"/>
      <c r="W119" s="214"/>
      <c r="X119" s="245"/>
      <c r="Y119" s="244"/>
      <c r="Z119" s="226" t="str">
        <f>IF(Table1[[#This Row],[Bus Type (A,B,C,D)]]="","",IF(Table1[[#This Row],[New Engine Fuel Type or Bus Eliminated:]]="Bus Eliminated","",Table1[[#This Row],[Bus Type (A,B,C,D)]]))</f>
        <v/>
      </c>
      <c r="AA119" s="209"/>
      <c r="AB119" s="244"/>
      <c r="AC119" s="211"/>
      <c r="AD119" s="211"/>
      <c r="AE119" s="211"/>
      <c r="AF119" s="201"/>
    </row>
    <row r="120" spans="1:32" ht="12" customHeight="1">
      <c r="A120" s="62" t="str">
        <f>IF(A119&lt;Application!$D$24,A119+1,"")</f>
        <v/>
      </c>
      <c r="B120" s="245"/>
      <c r="C120" s="245"/>
      <c r="D120" s="244"/>
      <c r="E120" s="245"/>
      <c r="F120" s="213"/>
      <c r="G120" s="209"/>
      <c r="H120" s="247"/>
      <c r="I120" s="245"/>
      <c r="J120" s="245"/>
      <c r="K120" s="209"/>
      <c r="L120" s="209"/>
      <c r="M120" s="211"/>
      <c r="N120" s="209"/>
      <c r="O120" s="244"/>
      <c r="P120" s="212"/>
      <c r="Q12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0" s="213"/>
      <c r="S120" s="213"/>
      <c r="T120" s="213"/>
      <c r="U120" s="209"/>
      <c r="V120" s="213"/>
      <c r="W120" s="214"/>
      <c r="X120" s="245"/>
      <c r="Y120" s="244"/>
      <c r="Z120" s="226" t="str">
        <f>IF(Table1[[#This Row],[Bus Type (A,B,C,D)]]="","",IF(Table1[[#This Row],[New Engine Fuel Type or Bus Eliminated:]]="Bus Eliminated","",Table1[[#This Row],[Bus Type (A,B,C,D)]]))</f>
        <v/>
      </c>
      <c r="AA120" s="209"/>
      <c r="AB120" s="244"/>
      <c r="AC120" s="211"/>
      <c r="AD120" s="211"/>
      <c r="AE120" s="211"/>
      <c r="AF120" s="201"/>
    </row>
    <row r="121" spans="1:32" ht="12" customHeight="1">
      <c r="A121" s="62" t="str">
        <f>IF(A120&lt;Application!$D$24,A120+1,"")</f>
        <v/>
      </c>
      <c r="B121" s="245"/>
      <c r="C121" s="245"/>
      <c r="D121" s="244"/>
      <c r="E121" s="245"/>
      <c r="F121" s="213"/>
      <c r="G121" s="209"/>
      <c r="H121" s="247"/>
      <c r="I121" s="245"/>
      <c r="J121" s="245"/>
      <c r="K121" s="209"/>
      <c r="L121" s="209"/>
      <c r="M121" s="211"/>
      <c r="N121" s="209"/>
      <c r="O121" s="244"/>
      <c r="P121" s="212"/>
      <c r="Q12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1" s="213"/>
      <c r="S121" s="213"/>
      <c r="T121" s="213"/>
      <c r="U121" s="209"/>
      <c r="V121" s="213"/>
      <c r="W121" s="214"/>
      <c r="X121" s="245"/>
      <c r="Y121" s="244"/>
      <c r="Z121" s="226" t="str">
        <f>IF(Table1[[#This Row],[Bus Type (A,B,C,D)]]="","",IF(Table1[[#This Row],[New Engine Fuel Type or Bus Eliminated:]]="Bus Eliminated","",Table1[[#This Row],[Bus Type (A,B,C,D)]]))</f>
        <v/>
      </c>
      <c r="AA121" s="209"/>
      <c r="AB121" s="244"/>
      <c r="AC121" s="211"/>
      <c r="AD121" s="211"/>
      <c r="AE121" s="211"/>
      <c r="AF121" s="201"/>
    </row>
    <row r="122" spans="1:32" ht="12" customHeight="1">
      <c r="A122" s="62" t="str">
        <f>IF(A121&lt;Application!$D$24,A121+1,"")</f>
        <v/>
      </c>
      <c r="B122" s="245"/>
      <c r="C122" s="245"/>
      <c r="D122" s="244"/>
      <c r="E122" s="245"/>
      <c r="F122" s="213"/>
      <c r="G122" s="209"/>
      <c r="H122" s="247"/>
      <c r="I122" s="245"/>
      <c r="J122" s="245"/>
      <c r="K122" s="209"/>
      <c r="L122" s="209"/>
      <c r="M122" s="211"/>
      <c r="N122" s="209"/>
      <c r="O122" s="244"/>
      <c r="P122" s="212"/>
      <c r="Q12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2" s="213"/>
      <c r="S122" s="213"/>
      <c r="T122" s="213"/>
      <c r="U122" s="209"/>
      <c r="V122" s="213"/>
      <c r="W122" s="214"/>
      <c r="X122" s="245"/>
      <c r="Y122" s="244"/>
      <c r="Z122" s="226" t="str">
        <f>IF(Table1[[#This Row],[Bus Type (A,B,C,D)]]="","",IF(Table1[[#This Row],[New Engine Fuel Type or Bus Eliminated:]]="Bus Eliminated","",Table1[[#This Row],[Bus Type (A,B,C,D)]]))</f>
        <v/>
      </c>
      <c r="AA122" s="209"/>
      <c r="AB122" s="244"/>
      <c r="AC122" s="211"/>
      <c r="AD122" s="211"/>
      <c r="AE122" s="211"/>
      <c r="AF122" s="201"/>
    </row>
    <row r="123" spans="1:32" ht="12" customHeight="1">
      <c r="A123" s="62" t="str">
        <f>IF(A122&lt;Application!$D$24,A122+1,"")</f>
        <v/>
      </c>
      <c r="B123" s="245"/>
      <c r="C123" s="245"/>
      <c r="D123" s="244"/>
      <c r="E123" s="245"/>
      <c r="F123" s="213"/>
      <c r="G123" s="209"/>
      <c r="H123" s="247"/>
      <c r="I123" s="245"/>
      <c r="J123" s="245"/>
      <c r="K123" s="209"/>
      <c r="L123" s="209"/>
      <c r="M123" s="211"/>
      <c r="N123" s="209"/>
      <c r="O123" s="244"/>
      <c r="P123" s="212"/>
      <c r="Q12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3" s="213"/>
      <c r="S123" s="213"/>
      <c r="T123" s="213"/>
      <c r="U123" s="209"/>
      <c r="V123" s="213"/>
      <c r="W123" s="214"/>
      <c r="X123" s="245"/>
      <c r="Y123" s="244"/>
      <c r="Z123" s="226" t="str">
        <f>IF(Table1[[#This Row],[Bus Type (A,B,C,D)]]="","",IF(Table1[[#This Row],[New Engine Fuel Type or Bus Eliminated:]]="Bus Eliminated","",Table1[[#This Row],[Bus Type (A,B,C,D)]]))</f>
        <v/>
      </c>
      <c r="AA123" s="209"/>
      <c r="AB123" s="244"/>
      <c r="AC123" s="211"/>
      <c r="AD123" s="211"/>
      <c r="AE123" s="211"/>
      <c r="AF123" s="201"/>
    </row>
    <row r="124" spans="1:32" ht="12" customHeight="1">
      <c r="A124" s="62" t="str">
        <f>IF(A123&lt;Application!$D$24,A123+1,"")</f>
        <v/>
      </c>
      <c r="B124" s="245"/>
      <c r="C124" s="245"/>
      <c r="D124" s="244"/>
      <c r="E124" s="245"/>
      <c r="F124" s="213"/>
      <c r="G124" s="209"/>
      <c r="H124" s="247"/>
      <c r="I124" s="245"/>
      <c r="J124" s="245"/>
      <c r="K124" s="209"/>
      <c r="L124" s="209"/>
      <c r="M124" s="211"/>
      <c r="N124" s="209"/>
      <c r="O124" s="244"/>
      <c r="P124" s="212"/>
      <c r="Q12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4" s="213"/>
      <c r="S124" s="213"/>
      <c r="T124" s="213"/>
      <c r="U124" s="209"/>
      <c r="V124" s="213"/>
      <c r="W124" s="214"/>
      <c r="X124" s="245"/>
      <c r="Y124" s="244"/>
      <c r="Z124" s="226" t="str">
        <f>IF(Table1[[#This Row],[Bus Type (A,B,C,D)]]="","",IF(Table1[[#This Row],[New Engine Fuel Type or Bus Eliminated:]]="Bus Eliminated","",Table1[[#This Row],[Bus Type (A,B,C,D)]]))</f>
        <v/>
      </c>
      <c r="AA124" s="209"/>
      <c r="AB124" s="244"/>
      <c r="AC124" s="211"/>
      <c r="AD124" s="211"/>
      <c r="AE124" s="211"/>
      <c r="AF124" s="201"/>
    </row>
    <row r="125" spans="1:32" ht="12" customHeight="1">
      <c r="A125" s="62" t="str">
        <f>IF(A124&lt;Application!$D$24,A124+1,"")</f>
        <v/>
      </c>
      <c r="B125" s="245"/>
      <c r="C125" s="245"/>
      <c r="D125" s="244"/>
      <c r="E125" s="245"/>
      <c r="F125" s="213"/>
      <c r="G125" s="209"/>
      <c r="H125" s="247"/>
      <c r="I125" s="245"/>
      <c r="J125" s="245"/>
      <c r="K125" s="209"/>
      <c r="L125" s="209"/>
      <c r="M125" s="211"/>
      <c r="N125" s="209"/>
      <c r="O125" s="244"/>
      <c r="P125" s="212"/>
      <c r="Q12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5" s="213"/>
      <c r="S125" s="213"/>
      <c r="T125" s="213"/>
      <c r="U125" s="209"/>
      <c r="V125" s="213"/>
      <c r="W125" s="214"/>
      <c r="X125" s="245"/>
      <c r="Y125" s="244"/>
      <c r="Z125" s="226" t="str">
        <f>IF(Table1[[#This Row],[Bus Type (A,B,C,D)]]="","",IF(Table1[[#This Row],[New Engine Fuel Type or Bus Eliminated:]]="Bus Eliminated","",Table1[[#This Row],[Bus Type (A,B,C,D)]]))</f>
        <v/>
      </c>
      <c r="AA125" s="209"/>
      <c r="AB125" s="244"/>
      <c r="AC125" s="211"/>
      <c r="AD125" s="211"/>
      <c r="AE125" s="211"/>
      <c r="AF125" s="201"/>
    </row>
    <row r="126" spans="1:32" ht="12" customHeight="1">
      <c r="A126" s="62" t="str">
        <f>IF(A125&lt;Application!$D$24,A125+1,"")</f>
        <v/>
      </c>
      <c r="B126" s="245"/>
      <c r="C126" s="245"/>
      <c r="D126" s="244"/>
      <c r="E126" s="245"/>
      <c r="F126" s="213"/>
      <c r="G126" s="209"/>
      <c r="H126" s="247"/>
      <c r="I126" s="245"/>
      <c r="J126" s="245"/>
      <c r="K126" s="209"/>
      <c r="L126" s="209"/>
      <c r="M126" s="211"/>
      <c r="N126" s="209"/>
      <c r="O126" s="244"/>
      <c r="P126" s="212"/>
      <c r="Q12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6" s="213"/>
      <c r="S126" s="213"/>
      <c r="T126" s="213"/>
      <c r="U126" s="209"/>
      <c r="V126" s="213"/>
      <c r="W126" s="214"/>
      <c r="X126" s="245"/>
      <c r="Y126" s="244"/>
      <c r="Z126" s="226" t="str">
        <f>IF(Table1[[#This Row],[Bus Type (A,B,C,D)]]="","",IF(Table1[[#This Row],[New Engine Fuel Type or Bus Eliminated:]]="Bus Eliminated","",Table1[[#This Row],[Bus Type (A,B,C,D)]]))</f>
        <v/>
      </c>
      <c r="AA126" s="209"/>
      <c r="AB126" s="244"/>
      <c r="AC126" s="211"/>
      <c r="AD126" s="211"/>
      <c r="AE126" s="211"/>
      <c r="AF126" s="201"/>
    </row>
    <row r="127" spans="1:32" ht="12" customHeight="1">
      <c r="A127" s="62" t="str">
        <f>IF(A126&lt;Application!$D$24,A126+1,"")</f>
        <v/>
      </c>
      <c r="B127" s="245"/>
      <c r="C127" s="245"/>
      <c r="D127" s="244"/>
      <c r="E127" s="245"/>
      <c r="F127" s="213"/>
      <c r="G127" s="209"/>
      <c r="H127" s="247"/>
      <c r="I127" s="245"/>
      <c r="J127" s="245"/>
      <c r="K127" s="209"/>
      <c r="L127" s="209"/>
      <c r="M127" s="211"/>
      <c r="N127" s="209"/>
      <c r="O127" s="244"/>
      <c r="P127" s="212"/>
      <c r="Q12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7" s="213"/>
      <c r="S127" s="213"/>
      <c r="T127" s="213"/>
      <c r="U127" s="209"/>
      <c r="V127" s="213"/>
      <c r="W127" s="214"/>
      <c r="X127" s="245"/>
      <c r="Y127" s="244"/>
      <c r="Z127" s="226" t="str">
        <f>IF(Table1[[#This Row],[Bus Type (A,B,C,D)]]="","",IF(Table1[[#This Row],[New Engine Fuel Type or Bus Eliminated:]]="Bus Eliminated","",Table1[[#This Row],[Bus Type (A,B,C,D)]]))</f>
        <v/>
      </c>
      <c r="AA127" s="209"/>
      <c r="AB127" s="244"/>
      <c r="AC127" s="211"/>
      <c r="AD127" s="211"/>
      <c r="AE127" s="211"/>
      <c r="AF127" s="201"/>
    </row>
    <row r="128" spans="1:32" ht="12" customHeight="1">
      <c r="A128" s="62" t="str">
        <f>IF(A127&lt;Application!$D$24,A127+1,"")</f>
        <v/>
      </c>
      <c r="B128" s="245"/>
      <c r="C128" s="245"/>
      <c r="D128" s="244"/>
      <c r="E128" s="245"/>
      <c r="F128" s="213"/>
      <c r="G128" s="209"/>
      <c r="H128" s="247"/>
      <c r="I128" s="245"/>
      <c r="J128" s="245"/>
      <c r="K128" s="209"/>
      <c r="L128" s="209"/>
      <c r="M128" s="211"/>
      <c r="N128" s="209"/>
      <c r="O128" s="244"/>
      <c r="P128" s="212"/>
      <c r="Q12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8" s="213"/>
      <c r="S128" s="213"/>
      <c r="T128" s="213"/>
      <c r="U128" s="209"/>
      <c r="V128" s="213"/>
      <c r="W128" s="214"/>
      <c r="X128" s="245"/>
      <c r="Y128" s="244"/>
      <c r="Z128" s="226" t="str">
        <f>IF(Table1[[#This Row],[Bus Type (A,B,C,D)]]="","",IF(Table1[[#This Row],[New Engine Fuel Type or Bus Eliminated:]]="Bus Eliminated","",Table1[[#This Row],[Bus Type (A,B,C,D)]]))</f>
        <v/>
      </c>
      <c r="AA128" s="209"/>
      <c r="AB128" s="244"/>
      <c r="AC128" s="211"/>
      <c r="AD128" s="211"/>
      <c r="AE128" s="211"/>
      <c r="AF128" s="201"/>
    </row>
    <row r="129" spans="1:32" ht="12" customHeight="1">
      <c r="A129" s="62" t="str">
        <f>IF(A128&lt;Application!$D$24,A128+1,"")</f>
        <v/>
      </c>
      <c r="B129" s="245"/>
      <c r="C129" s="245"/>
      <c r="D129" s="244"/>
      <c r="E129" s="245"/>
      <c r="F129" s="213"/>
      <c r="G129" s="209"/>
      <c r="H129" s="247"/>
      <c r="I129" s="245"/>
      <c r="J129" s="245"/>
      <c r="K129" s="209"/>
      <c r="L129" s="209"/>
      <c r="M129" s="211"/>
      <c r="N129" s="209"/>
      <c r="O129" s="244"/>
      <c r="P129" s="212"/>
      <c r="Q12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9" s="213"/>
      <c r="S129" s="213"/>
      <c r="T129" s="213"/>
      <c r="U129" s="209"/>
      <c r="V129" s="213"/>
      <c r="W129" s="214"/>
      <c r="X129" s="245"/>
      <c r="Y129" s="244"/>
      <c r="Z129" s="226" t="str">
        <f>IF(Table1[[#This Row],[Bus Type (A,B,C,D)]]="","",IF(Table1[[#This Row],[New Engine Fuel Type or Bus Eliminated:]]="Bus Eliminated","",Table1[[#This Row],[Bus Type (A,B,C,D)]]))</f>
        <v/>
      </c>
      <c r="AA129" s="209"/>
      <c r="AB129" s="244"/>
      <c r="AC129" s="211"/>
      <c r="AD129" s="211"/>
      <c r="AE129" s="211"/>
      <c r="AF129" s="201"/>
    </row>
    <row r="130" spans="1:32" ht="12" customHeight="1">
      <c r="A130" s="62" t="str">
        <f>IF(A129&lt;Application!$D$24,A129+1,"")</f>
        <v/>
      </c>
      <c r="B130" s="245"/>
      <c r="C130" s="245"/>
      <c r="D130" s="244"/>
      <c r="E130" s="245"/>
      <c r="F130" s="213"/>
      <c r="G130" s="209"/>
      <c r="H130" s="247"/>
      <c r="I130" s="245"/>
      <c r="J130" s="245"/>
      <c r="K130" s="209"/>
      <c r="L130" s="209"/>
      <c r="M130" s="211"/>
      <c r="N130" s="209"/>
      <c r="O130" s="244"/>
      <c r="P130" s="212"/>
      <c r="Q13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0" s="213"/>
      <c r="S130" s="213"/>
      <c r="T130" s="213"/>
      <c r="U130" s="209"/>
      <c r="V130" s="213"/>
      <c r="W130" s="214"/>
      <c r="X130" s="245"/>
      <c r="Y130" s="244"/>
      <c r="Z130" s="226" t="str">
        <f>IF(Table1[[#This Row],[Bus Type (A,B,C,D)]]="","",IF(Table1[[#This Row],[New Engine Fuel Type or Bus Eliminated:]]="Bus Eliminated","",Table1[[#This Row],[Bus Type (A,B,C,D)]]))</f>
        <v/>
      </c>
      <c r="AA130" s="209"/>
      <c r="AB130" s="244"/>
      <c r="AC130" s="211"/>
      <c r="AD130" s="211"/>
      <c r="AE130" s="211"/>
      <c r="AF130" s="201"/>
    </row>
    <row r="131" spans="1:32" ht="12" customHeight="1">
      <c r="A131" s="62" t="str">
        <f>IF(A130&lt;Application!$D$24,A130+1,"")</f>
        <v/>
      </c>
      <c r="B131" s="245"/>
      <c r="C131" s="245"/>
      <c r="D131" s="244"/>
      <c r="E131" s="245"/>
      <c r="F131" s="213"/>
      <c r="G131" s="209"/>
      <c r="H131" s="247"/>
      <c r="I131" s="245"/>
      <c r="J131" s="245"/>
      <c r="K131" s="209"/>
      <c r="L131" s="209"/>
      <c r="M131" s="211"/>
      <c r="N131" s="209"/>
      <c r="O131" s="244"/>
      <c r="P131" s="212"/>
      <c r="Q13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1" s="213"/>
      <c r="S131" s="213"/>
      <c r="T131" s="213"/>
      <c r="U131" s="209"/>
      <c r="V131" s="213"/>
      <c r="W131" s="214"/>
      <c r="X131" s="245"/>
      <c r="Y131" s="244"/>
      <c r="Z131" s="226" t="str">
        <f>IF(Table1[[#This Row],[Bus Type (A,B,C,D)]]="","",IF(Table1[[#This Row],[New Engine Fuel Type or Bus Eliminated:]]="Bus Eliminated","",Table1[[#This Row],[Bus Type (A,B,C,D)]]))</f>
        <v/>
      </c>
      <c r="AA131" s="209"/>
      <c r="AB131" s="244"/>
      <c r="AC131" s="211"/>
      <c r="AD131" s="211"/>
      <c r="AE131" s="211"/>
      <c r="AF131" s="201"/>
    </row>
    <row r="132" spans="1:32" ht="12" customHeight="1">
      <c r="A132" s="62" t="str">
        <f>IF(A131&lt;Application!$D$24,A131+1,"")</f>
        <v/>
      </c>
      <c r="B132" s="245"/>
      <c r="C132" s="245"/>
      <c r="D132" s="244"/>
      <c r="E132" s="245"/>
      <c r="F132" s="213"/>
      <c r="G132" s="209"/>
      <c r="H132" s="247"/>
      <c r="I132" s="245"/>
      <c r="J132" s="245"/>
      <c r="K132" s="209"/>
      <c r="L132" s="209"/>
      <c r="M132" s="211"/>
      <c r="N132" s="209"/>
      <c r="O132" s="244"/>
      <c r="P132" s="212"/>
      <c r="Q13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2" s="213"/>
      <c r="S132" s="213"/>
      <c r="T132" s="213"/>
      <c r="U132" s="209"/>
      <c r="V132" s="213"/>
      <c r="W132" s="214"/>
      <c r="X132" s="245"/>
      <c r="Y132" s="244"/>
      <c r="Z132" s="226" t="str">
        <f>IF(Table1[[#This Row],[Bus Type (A,B,C,D)]]="","",IF(Table1[[#This Row],[New Engine Fuel Type or Bus Eliminated:]]="Bus Eliminated","",Table1[[#This Row],[Bus Type (A,B,C,D)]]))</f>
        <v/>
      </c>
      <c r="AA132" s="209"/>
      <c r="AB132" s="244"/>
      <c r="AC132" s="211"/>
      <c r="AD132" s="211"/>
      <c r="AE132" s="211"/>
      <c r="AF132" s="201"/>
    </row>
    <row r="133" spans="1:32" ht="12" customHeight="1">
      <c r="A133" s="62" t="str">
        <f>IF(A132&lt;Application!$D$24,A132+1,"")</f>
        <v/>
      </c>
      <c r="B133" s="245"/>
      <c r="C133" s="245"/>
      <c r="D133" s="244"/>
      <c r="E133" s="245"/>
      <c r="F133" s="213"/>
      <c r="G133" s="209"/>
      <c r="H133" s="247"/>
      <c r="I133" s="245"/>
      <c r="J133" s="245"/>
      <c r="K133" s="209"/>
      <c r="L133" s="209"/>
      <c r="M133" s="211"/>
      <c r="N133" s="209"/>
      <c r="O133" s="244"/>
      <c r="P133" s="212"/>
      <c r="Q13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3" s="213"/>
      <c r="S133" s="213"/>
      <c r="T133" s="213"/>
      <c r="U133" s="209"/>
      <c r="V133" s="213"/>
      <c r="W133" s="214"/>
      <c r="X133" s="245"/>
      <c r="Y133" s="244"/>
      <c r="Z133" s="226" t="str">
        <f>IF(Table1[[#This Row],[Bus Type (A,B,C,D)]]="","",IF(Table1[[#This Row],[New Engine Fuel Type or Bus Eliminated:]]="Bus Eliminated","",Table1[[#This Row],[Bus Type (A,B,C,D)]]))</f>
        <v/>
      </c>
      <c r="AA133" s="209"/>
      <c r="AB133" s="244"/>
      <c r="AC133" s="211"/>
      <c r="AD133" s="211"/>
      <c r="AE133" s="211"/>
      <c r="AF133" s="201"/>
    </row>
    <row r="134" spans="1:32" ht="12" customHeight="1">
      <c r="A134" s="62" t="str">
        <f>IF(A133&lt;Application!$D$24,A133+1,"")</f>
        <v/>
      </c>
      <c r="B134" s="245"/>
      <c r="C134" s="245"/>
      <c r="D134" s="244"/>
      <c r="E134" s="245"/>
      <c r="F134" s="213"/>
      <c r="G134" s="209"/>
      <c r="H134" s="247"/>
      <c r="I134" s="245"/>
      <c r="J134" s="245"/>
      <c r="K134" s="209"/>
      <c r="L134" s="209"/>
      <c r="M134" s="211"/>
      <c r="N134" s="209"/>
      <c r="O134" s="244"/>
      <c r="P134" s="212"/>
      <c r="Q13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4" s="213"/>
      <c r="S134" s="213"/>
      <c r="T134" s="213"/>
      <c r="U134" s="209"/>
      <c r="V134" s="213"/>
      <c r="W134" s="214"/>
      <c r="X134" s="245"/>
      <c r="Y134" s="244"/>
      <c r="Z134" s="226" t="str">
        <f>IF(Table1[[#This Row],[Bus Type (A,B,C,D)]]="","",IF(Table1[[#This Row],[New Engine Fuel Type or Bus Eliminated:]]="Bus Eliminated","",Table1[[#This Row],[Bus Type (A,B,C,D)]]))</f>
        <v/>
      </c>
      <c r="AA134" s="209"/>
      <c r="AB134" s="244"/>
      <c r="AC134" s="211"/>
      <c r="AD134" s="211"/>
      <c r="AE134" s="211"/>
      <c r="AF134" s="201"/>
    </row>
    <row r="135" spans="1:32" ht="12" customHeight="1">
      <c r="A135" s="62" t="str">
        <f>IF(A134&lt;Application!$D$24,A134+1,"")</f>
        <v/>
      </c>
      <c r="B135" s="245"/>
      <c r="C135" s="245"/>
      <c r="D135" s="244"/>
      <c r="E135" s="245"/>
      <c r="F135" s="213"/>
      <c r="G135" s="209"/>
      <c r="H135" s="247"/>
      <c r="I135" s="245"/>
      <c r="J135" s="245"/>
      <c r="K135" s="209"/>
      <c r="L135" s="209"/>
      <c r="M135" s="211"/>
      <c r="N135" s="209"/>
      <c r="O135" s="244"/>
      <c r="P135" s="212"/>
      <c r="Q13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5" s="213"/>
      <c r="S135" s="213"/>
      <c r="T135" s="213"/>
      <c r="U135" s="209"/>
      <c r="V135" s="213"/>
      <c r="W135" s="214"/>
      <c r="X135" s="245"/>
      <c r="Y135" s="244"/>
      <c r="Z135" s="226" t="str">
        <f>IF(Table1[[#This Row],[Bus Type (A,B,C,D)]]="","",IF(Table1[[#This Row],[New Engine Fuel Type or Bus Eliminated:]]="Bus Eliminated","",Table1[[#This Row],[Bus Type (A,B,C,D)]]))</f>
        <v/>
      </c>
      <c r="AA135" s="209"/>
      <c r="AB135" s="244"/>
      <c r="AC135" s="211"/>
      <c r="AD135" s="211"/>
      <c r="AE135" s="211"/>
      <c r="AF135" s="201"/>
    </row>
    <row r="136" spans="1:32" ht="12" customHeight="1">
      <c r="A136" s="62" t="str">
        <f>IF(A135&lt;Application!$D$24,A135+1,"")</f>
        <v/>
      </c>
      <c r="B136" s="245"/>
      <c r="C136" s="245"/>
      <c r="D136" s="244"/>
      <c r="E136" s="245"/>
      <c r="F136" s="213"/>
      <c r="G136" s="209"/>
      <c r="H136" s="247"/>
      <c r="I136" s="245"/>
      <c r="J136" s="245"/>
      <c r="K136" s="209"/>
      <c r="L136" s="209"/>
      <c r="M136" s="211"/>
      <c r="N136" s="209"/>
      <c r="O136" s="244"/>
      <c r="P136" s="212"/>
      <c r="Q13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6" s="213"/>
      <c r="S136" s="213"/>
      <c r="T136" s="213"/>
      <c r="U136" s="209"/>
      <c r="V136" s="213"/>
      <c r="W136" s="214"/>
      <c r="X136" s="245"/>
      <c r="Y136" s="244"/>
      <c r="Z136" s="226" t="str">
        <f>IF(Table1[[#This Row],[Bus Type (A,B,C,D)]]="","",IF(Table1[[#This Row],[New Engine Fuel Type or Bus Eliminated:]]="Bus Eliminated","",Table1[[#This Row],[Bus Type (A,B,C,D)]]))</f>
        <v/>
      </c>
      <c r="AA136" s="209"/>
      <c r="AB136" s="244"/>
      <c r="AC136" s="211"/>
      <c r="AD136" s="211"/>
      <c r="AE136" s="211"/>
      <c r="AF136" s="201"/>
    </row>
    <row r="137" spans="1:32" ht="12" customHeight="1">
      <c r="A137" s="62" t="str">
        <f>IF(A136&lt;Application!$D$24,A136+1,"")</f>
        <v/>
      </c>
      <c r="B137" s="245"/>
      <c r="C137" s="245"/>
      <c r="D137" s="244"/>
      <c r="E137" s="245"/>
      <c r="F137" s="213"/>
      <c r="G137" s="209"/>
      <c r="H137" s="247"/>
      <c r="I137" s="245"/>
      <c r="J137" s="245"/>
      <c r="K137" s="209"/>
      <c r="L137" s="209"/>
      <c r="M137" s="211"/>
      <c r="N137" s="209"/>
      <c r="O137" s="244"/>
      <c r="P137" s="212"/>
      <c r="Q13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7" s="213"/>
      <c r="S137" s="213"/>
      <c r="T137" s="213"/>
      <c r="U137" s="209"/>
      <c r="V137" s="213"/>
      <c r="W137" s="214"/>
      <c r="X137" s="245"/>
      <c r="Y137" s="244"/>
      <c r="Z137" s="226" t="str">
        <f>IF(Table1[[#This Row],[Bus Type (A,B,C,D)]]="","",IF(Table1[[#This Row],[New Engine Fuel Type or Bus Eliminated:]]="Bus Eliminated","",Table1[[#This Row],[Bus Type (A,B,C,D)]]))</f>
        <v/>
      </c>
      <c r="AA137" s="209"/>
      <c r="AB137" s="244"/>
      <c r="AC137" s="211"/>
      <c r="AD137" s="211"/>
      <c r="AE137" s="211"/>
      <c r="AF137" s="201"/>
    </row>
    <row r="138" spans="1:32" ht="12" customHeight="1">
      <c r="A138" s="62" t="str">
        <f>IF(A137&lt;Application!$D$24,A137+1,"")</f>
        <v/>
      </c>
      <c r="B138" s="245"/>
      <c r="C138" s="245"/>
      <c r="D138" s="244"/>
      <c r="E138" s="245"/>
      <c r="F138" s="213"/>
      <c r="G138" s="209"/>
      <c r="H138" s="247"/>
      <c r="I138" s="245"/>
      <c r="J138" s="245"/>
      <c r="K138" s="209"/>
      <c r="L138" s="209"/>
      <c r="M138" s="211"/>
      <c r="N138" s="209"/>
      <c r="O138" s="244"/>
      <c r="P138" s="212"/>
      <c r="Q13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8" s="213"/>
      <c r="S138" s="213"/>
      <c r="T138" s="213"/>
      <c r="U138" s="209"/>
      <c r="V138" s="213"/>
      <c r="W138" s="214"/>
      <c r="X138" s="245"/>
      <c r="Y138" s="244"/>
      <c r="Z138" s="226" t="str">
        <f>IF(Table1[[#This Row],[Bus Type (A,B,C,D)]]="","",IF(Table1[[#This Row],[New Engine Fuel Type or Bus Eliminated:]]="Bus Eliminated","",Table1[[#This Row],[Bus Type (A,B,C,D)]]))</f>
        <v/>
      </c>
      <c r="AA138" s="209"/>
      <c r="AB138" s="244"/>
      <c r="AC138" s="211"/>
      <c r="AD138" s="211"/>
      <c r="AE138" s="211"/>
      <c r="AF138" s="201"/>
    </row>
    <row r="139" spans="1:32" ht="12" customHeight="1">
      <c r="A139" s="62" t="str">
        <f>IF(A138&lt;Application!$D$24,A138+1,"")</f>
        <v/>
      </c>
      <c r="B139" s="245"/>
      <c r="C139" s="245"/>
      <c r="D139" s="244"/>
      <c r="E139" s="245"/>
      <c r="F139" s="213"/>
      <c r="G139" s="209"/>
      <c r="H139" s="247"/>
      <c r="I139" s="245"/>
      <c r="J139" s="245"/>
      <c r="K139" s="209"/>
      <c r="L139" s="209"/>
      <c r="M139" s="211"/>
      <c r="N139" s="209"/>
      <c r="O139" s="244"/>
      <c r="P139" s="212"/>
      <c r="Q13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9" s="213"/>
      <c r="S139" s="213"/>
      <c r="T139" s="213"/>
      <c r="U139" s="209"/>
      <c r="V139" s="213"/>
      <c r="W139" s="214"/>
      <c r="X139" s="245"/>
      <c r="Y139" s="244"/>
      <c r="Z139" s="226" t="str">
        <f>IF(Table1[[#This Row],[Bus Type (A,B,C,D)]]="","",IF(Table1[[#This Row],[New Engine Fuel Type or Bus Eliminated:]]="Bus Eliminated","",Table1[[#This Row],[Bus Type (A,B,C,D)]]))</f>
        <v/>
      </c>
      <c r="AA139" s="209"/>
      <c r="AB139" s="244"/>
      <c r="AC139" s="211"/>
      <c r="AD139" s="211"/>
      <c r="AE139" s="211"/>
      <c r="AF139" s="201"/>
    </row>
    <row r="140" spans="1:32" ht="12" customHeight="1">
      <c r="A140" s="62" t="str">
        <f>IF(A139&lt;Application!$D$24,A139+1,"")</f>
        <v/>
      </c>
      <c r="B140" s="245"/>
      <c r="C140" s="245"/>
      <c r="D140" s="244"/>
      <c r="E140" s="245"/>
      <c r="F140" s="213"/>
      <c r="G140" s="209"/>
      <c r="H140" s="247"/>
      <c r="I140" s="245"/>
      <c r="J140" s="245"/>
      <c r="K140" s="209"/>
      <c r="L140" s="209"/>
      <c r="M140" s="211"/>
      <c r="N140" s="209"/>
      <c r="O140" s="244"/>
      <c r="P140" s="212"/>
      <c r="Q14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0" s="213"/>
      <c r="S140" s="213"/>
      <c r="T140" s="213"/>
      <c r="U140" s="209"/>
      <c r="V140" s="213"/>
      <c r="W140" s="214"/>
      <c r="X140" s="245"/>
      <c r="Y140" s="244"/>
      <c r="Z140" s="226" t="str">
        <f>IF(Table1[[#This Row],[Bus Type (A,B,C,D)]]="","",IF(Table1[[#This Row],[New Engine Fuel Type or Bus Eliminated:]]="Bus Eliminated","",Table1[[#This Row],[Bus Type (A,B,C,D)]]))</f>
        <v/>
      </c>
      <c r="AA140" s="209"/>
      <c r="AB140" s="244"/>
      <c r="AC140" s="211"/>
      <c r="AD140" s="211"/>
      <c r="AE140" s="211"/>
      <c r="AF140" s="201"/>
    </row>
    <row r="141" spans="1:32" ht="12" customHeight="1">
      <c r="A141" s="62" t="str">
        <f>IF(A140&lt;Application!$D$24,A140+1,"")</f>
        <v/>
      </c>
      <c r="B141" s="245"/>
      <c r="C141" s="245"/>
      <c r="D141" s="244"/>
      <c r="E141" s="245"/>
      <c r="F141" s="213"/>
      <c r="G141" s="209"/>
      <c r="H141" s="247"/>
      <c r="I141" s="245"/>
      <c r="J141" s="245"/>
      <c r="K141" s="209"/>
      <c r="L141" s="209"/>
      <c r="M141" s="211"/>
      <c r="N141" s="209"/>
      <c r="O141" s="244"/>
      <c r="P141" s="212"/>
      <c r="Q14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1" s="213"/>
      <c r="S141" s="213"/>
      <c r="T141" s="213"/>
      <c r="U141" s="209"/>
      <c r="V141" s="213"/>
      <c r="W141" s="214"/>
      <c r="X141" s="245"/>
      <c r="Y141" s="244"/>
      <c r="Z141" s="226" t="str">
        <f>IF(Table1[[#This Row],[Bus Type (A,B,C,D)]]="","",IF(Table1[[#This Row],[New Engine Fuel Type or Bus Eliminated:]]="Bus Eliminated","",Table1[[#This Row],[Bus Type (A,B,C,D)]]))</f>
        <v/>
      </c>
      <c r="AA141" s="209"/>
      <c r="AB141" s="244"/>
      <c r="AC141" s="211"/>
      <c r="AD141" s="211"/>
      <c r="AE141" s="211"/>
      <c r="AF141" s="201"/>
    </row>
    <row r="142" spans="1:32" ht="12" customHeight="1">
      <c r="A142" s="62" t="str">
        <f>IF(A141&lt;Application!$D$24,A141+1,"")</f>
        <v/>
      </c>
      <c r="B142" s="245"/>
      <c r="C142" s="245"/>
      <c r="D142" s="244"/>
      <c r="E142" s="245"/>
      <c r="F142" s="213"/>
      <c r="G142" s="209"/>
      <c r="H142" s="247"/>
      <c r="I142" s="245"/>
      <c r="J142" s="245"/>
      <c r="K142" s="209"/>
      <c r="L142" s="209"/>
      <c r="M142" s="211"/>
      <c r="N142" s="209"/>
      <c r="O142" s="244"/>
      <c r="P142" s="212"/>
      <c r="Q14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2" s="213"/>
      <c r="S142" s="213"/>
      <c r="T142" s="213"/>
      <c r="U142" s="209"/>
      <c r="V142" s="213"/>
      <c r="W142" s="214"/>
      <c r="X142" s="245"/>
      <c r="Y142" s="244"/>
      <c r="Z142" s="226" t="str">
        <f>IF(Table1[[#This Row],[Bus Type (A,B,C,D)]]="","",IF(Table1[[#This Row],[New Engine Fuel Type or Bus Eliminated:]]="Bus Eliminated","",Table1[[#This Row],[Bus Type (A,B,C,D)]]))</f>
        <v/>
      </c>
      <c r="AA142" s="209"/>
      <c r="AB142" s="244"/>
      <c r="AC142" s="211"/>
      <c r="AD142" s="211"/>
      <c r="AE142" s="211"/>
      <c r="AF142" s="201"/>
    </row>
    <row r="143" spans="1:32" ht="12" customHeight="1">
      <c r="A143" s="62" t="str">
        <f>IF(A142&lt;Application!$D$24,A142+1,"")</f>
        <v/>
      </c>
      <c r="B143" s="245"/>
      <c r="C143" s="245"/>
      <c r="D143" s="244"/>
      <c r="E143" s="245"/>
      <c r="F143" s="213"/>
      <c r="G143" s="209"/>
      <c r="H143" s="247"/>
      <c r="I143" s="245"/>
      <c r="J143" s="245"/>
      <c r="K143" s="209"/>
      <c r="L143" s="209"/>
      <c r="M143" s="211"/>
      <c r="N143" s="209"/>
      <c r="O143" s="244"/>
      <c r="P143" s="212"/>
      <c r="Q14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3" s="213"/>
      <c r="S143" s="213"/>
      <c r="T143" s="213"/>
      <c r="U143" s="209"/>
      <c r="V143" s="213"/>
      <c r="W143" s="214"/>
      <c r="X143" s="245"/>
      <c r="Y143" s="244"/>
      <c r="Z143" s="226" t="str">
        <f>IF(Table1[[#This Row],[Bus Type (A,B,C,D)]]="","",IF(Table1[[#This Row],[New Engine Fuel Type or Bus Eliminated:]]="Bus Eliminated","",Table1[[#This Row],[Bus Type (A,B,C,D)]]))</f>
        <v/>
      </c>
      <c r="AA143" s="209"/>
      <c r="AB143" s="244"/>
      <c r="AC143" s="211"/>
      <c r="AD143" s="211"/>
      <c r="AE143" s="211"/>
      <c r="AF143" s="201"/>
    </row>
    <row r="144" spans="1:32" ht="12" customHeight="1">
      <c r="A144" s="62" t="str">
        <f>IF(A143&lt;Application!$D$24,A143+1,"")</f>
        <v/>
      </c>
      <c r="B144" s="245"/>
      <c r="C144" s="245"/>
      <c r="D144" s="244"/>
      <c r="E144" s="245"/>
      <c r="F144" s="213"/>
      <c r="G144" s="209"/>
      <c r="H144" s="247"/>
      <c r="I144" s="245"/>
      <c r="J144" s="245"/>
      <c r="K144" s="209"/>
      <c r="L144" s="209"/>
      <c r="M144" s="211"/>
      <c r="N144" s="209"/>
      <c r="O144" s="244"/>
      <c r="P144" s="212"/>
      <c r="Q14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4" s="213"/>
      <c r="S144" s="213"/>
      <c r="T144" s="213"/>
      <c r="U144" s="209"/>
      <c r="V144" s="213"/>
      <c r="W144" s="214"/>
      <c r="X144" s="245"/>
      <c r="Y144" s="244"/>
      <c r="Z144" s="226" t="str">
        <f>IF(Table1[[#This Row],[Bus Type (A,B,C,D)]]="","",IF(Table1[[#This Row],[New Engine Fuel Type or Bus Eliminated:]]="Bus Eliminated","",Table1[[#This Row],[Bus Type (A,B,C,D)]]))</f>
        <v/>
      </c>
      <c r="AA144" s="209"/>
      <c r="AB144" s="244"/>
      <c r="AC144" s="211"/>
      <c r="AD144" s="211"/>
      <c r="AE144" s="211"/>
      <c r="AF144" s="201"/>
    </row>
    <row r="145" spans="1:32" ht="12" customHeight="1">
      <c r="A145" s="62" t="str">
        <f>IF(A144&lt;Application!$D$24,A144+1,"")</f>
        <v/>
      </c>
      <c r="B145" s="245"/>
      <c r="C145" s="245"/>
      <c r="D145" s="244"/>
      <c r="E145" s="245"/>
      <c r="F145" s="213"/>
      <c r="G145" s="209"/>
      <c r="H145" s="247"/>
      <c r="I145" s="245"/>
      <c r="J145" s="245"/>
      <c r="K145" s="209"/>
      <c r="L145" s="209"/>
      <c r="M145" s="211"/>
      <c r="N145" s="209"/>
      <c r="O145" s="244"/>
      <c r="P145" s="212"/>
      <c r="Q14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5" s="213"/>
      <c r="S145" s="213"/>
      <c r="T145" s="213"/>
      <c r="U145" s="209"/>
      <c r="V145" s="213"/>
      <c r="W145" s="214"/>
      <c r="X145" s="245"/>
      <c r="Y145" s="244"/>
      <c r="Z145" s="226" t="str">
        <f>IF(Table1[[#This Row],[Bus Type (A,B,C,D)]]="","",IF(Table1[[#This Row],[New Engine Fuel Type or Bus Eliminated:]]="Bus Eliminated","",Table1[[#This Row],[Bus Type (A,B,C,D)]]))</f>
        <v/>
      </c>
      <c r="AA145" s="209"/>
      <c r="AB145" s="244"/>
      <c r="AC145" s="211"/>
      <c r="AD145" s="211"/>
      <c r="AE145" s="211"/>
      <c r="AF145" s="201"/>
    </row>
    <row r="146" spans="1:32" ht="12" customHeight="1">
      <c r="A146" s="62" t="str">
        <f>IF(A145&lt;Application!$D$24,A145+1,"")</f>
        <v/>
      </c>
      <c r="B146" s="245"/>
      <c r="C146" s="245"/>
      <c r="D146" s="244"/>
      <c r="E146" s="245"/>
      <c r="F146" s="213"/>
      <c r="G146" s="209"/>
      <c r="H146" s="247"/>
      <c r="I146" s="245"/>
      <c r="J146" s="245"/>
      <c r="K146" s="209"/>
      <c r="L146" s="209"/>
      <c r="M146" s="211"/>
      <c r="N146" s="209"/>
      <c r="O146" s="244"/>
      <c r="P146" s="212"/>
      <c r="Q14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6" s="213"/>
      <c r="S146" s="213"/>
      <c r="T146" s="213"/>
      <c r="U146" s="209"/>
      <c r="V146" s="213"/>
      <c r="W146" s="214"/>
      <c r="X146" s="245"/>
      <c r="Y146" s="244"/>
      <c r="Z146" s="226" t="str">
        <f>IF(Table1[[#This Row],[Bus Type (A,B,C,D)]]="","",IF(Table1[[#This Row],[New Engine Fuel Type or Bus Eliminated:]]="Bus Eliminated","",Table1[[#This Row],[Bus Type (A,B,C,D)]]))</f>
        <v/>
      </c>
      <c r="AA146" s="209"/>
      <c r="AB146" s="244"/>
      <c r="AC146" s="211"/>
      <c r="AD146" s="211"/>
      <c r="AE146" s="211"/>
      <c r="AF146" s="201"/>
    </row>
    <row r="147" spans="1:32" ht="12" customHeight="1">
      <c r="A147" s="62" t="str">
        <f>IF(A146&lt;Application!$D$24,A146+1,"")</f>
        <v/>
      </c>
      <c r="B147" s="245"/>
      <c r="C147" s="245"/>
      <c r="D147" s="244"/>
      <c r="E147" s="245"/>
      <c r="F147" s="213"/>
      <c r="G147" s="209"/>
      <c r="H147" s="247"/>
      <c r="I147" s="245"/>
      <c r="J147" s="245"/>
      <c r="K147" s="209"/>
      <c r="L147" s="209"/>
      <c r="M147" s="211"/>
      <c r="N147" s="209"/>
      <c r="O147" s="244"/>
      <c r="P147" s="212"/>
      <c r="Q14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7" s="213"/>
      <c r="S147" s="213"/>
      <c r="T147" s="213"/>
      <c r="U147" s="209"/>
      <c r="V147" s="213"/>
      <c r="W147" s="214"/>
      <c r="X147" s="245"/>
      <c r="Y147" s="244"/>
      <c r="Z147" s="226" t="str">
        <f>IF(Table1[[#This Row],[Bus Type (A,B,C,D)]]="","",IF(Table1[[#This Row],[New Engine Fuel Type or Bus Eliminated:]]="Bus Eliminated","",Table1[[#This Row],[Bus Type (A,B,C,D)]]))</f>
        <v/>
      </c>
      <c r="AA147" s="209"/>
      <c r="AB147" s="244"/>
      <c r="AC147" s="211"/>
      <c r="AD147" s="211"/>
      <c r="AE147" s="211"/>
      <c r="AF147" s="201"/>
    </row>
    <row r="148" spans="1:32" ht="12" customHeight="1">
      <c r="A148" s="62" t="str">
        <f>IF(A147&lt;Application!$D$24,A147+1,"")</f>
        <v/>
      </c>
      <c r="B148" s="245"/>
      <c r="C148" s="245"/>
      <c r="D148" s="244"/>
      <c r="E148" s="245"/>
      <c r="F148" s="213"/>
      <c r="G148" s="209"/>
      <c r="H148" s="247"/>
      <c r="I148" s="245"/>
      <c r="J148" s="245"/>
      <c r="K148" s="209"/>
      <c r="L148" s="209"/>
      <c r="M148" s="211"/>
      <c r="N148" s="209"/>
      <c r="O148" s="244"/>
      <c r="P148" s="212"/>
      <c r="Q14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8" s="213"/>
      <c r="S148" s="213"/>
      <c r="T148" s="213"/>
      <c r="U148" s="209"/>
      <c r="V148" s="213"/>
      <c r="W148" s="214"/>
      <c r="X148" s="245"/>
      <c r="Y148" s="244"/>
      <c r="Z148" s="226" t="str">
        <f>IF(Table1[[#This Row],[Bus Type (A,B,C,D)]]="","",IF(Table1[[#This Row],[New Engine Fuel Type or Bus Eliminated:]]="Bus Eliminated","",Table1[[#This Row],[Bus Type (A,B,C,D)]]))</f>
        <v/>
      </c>
      <c r="AA148" s="209"/>
      <c r="AB148" s="244"/>
      <c r="AC148" s="211"/>
      <c r="AD148" s="211"/>
      <c r="AE148" s="211"/>
      <c r="AF148" s="201"/>
    </row>
    <row r="149" spans="1:32" ht="12" customHeight="1">
      <c r="A149" s="62" t="str">
        <f>IF(A148&lt;Application!$D$24,A148+1,"")</f>
        <v/>
      </c>
      <c r="B149" s="245"/>
      <c r="C149" s="245"/>
      <c r="D149" s="244"/>
      <c r="E149" s="245"/>
      <c r="F149" s="213"/>
      <c r="G149" s="209"/>
      <c r="H149" s="247"/>
      <c r="I149" s="245"/>
      <c r="J149" s="245"/>
      <c r="K149" s="209"/>
      <c r="L149" s="209"/>
      <c r="M149" s="211"/>
      <c r="N149" s="209"/>
      <c r="O149" s="244"/>
      <c r="P149" s="212"/>
      <c r="Q14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9" s="213"/>
      <c r="S149" s="213"/>
      <c r="T149" s="213"/>
      <c r="U149" s="209"/>
      <c r="V149" s="213"/>
      <c r="W149" s="214"/>
      <c r="X149" s="245"/>
      <c r="Y149" s="244"/>
      <c r="Z149" s="226" t="str">
        <f>IF(Table1[[#This Row],[Bus Type (A,B,C,D)]]="","",IF(Table1[[#This Row],[New Engine Fuel Type or Bus Eliminated:]]="Bus Eliminated","",Table1[[#This Row],[Bus Type (A,B,C,D)]]))</f>
        <v/>
      </c>
      <c r="AA149" s="209"/>
      <c r="AB149" s="244"/>
      <c r="AC149" s="211"/>
      <c r="AD149" s="211"/>
      <c r="AE149" s="211"/>
      <c r="AF149" s="201"/>
    </row>
    <row r="150" spans="1:32" ht="12" customHeight="1">
      <c r="A150" s="62" t="str">
        <f>IF(A149&lt;Application!$D$24,A149+1,"")</f>
        <v/>
      </c>
      <c r="B150" s="245"/>
      <c r="C150" s="245"/>
      <c r="D150" s="244"/>
      <c r="E150" s="245"/>
      <c r="F150" s="213"/>
      <c r="G150" s="209"/>
      <c r="H150" s="247"/>
      <c r="I150" s="245"/>
      <c r="J150" s="245"/>
      <c r="K150" s="209"/>
      <c r="L150" s="209"/>
      <c r="M150" s="211"/>
      <c r="N150" s="209"/>
      <c r="O150" s="244"/>
      <c r="P150" s="212"/>
      <c r="Q15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0" s="213"/>
      <c r="S150" s="213"/>
      <c r="T150" s="213"/>
      <c r="U150" s="209"/>
      <c r="V150" s="213"/>
      <c r="W150" s="214"/>
      <c r="X150" s="245"/>
      <c r="Y150" s="244"/>
      <c r="Z150" s="226" t="str">
        <f>IF(Table1[[#This Row],[Bus Type (A,B,C,D)]]="","",IF(Table1[[#This Row],[New Engine Fuel Type or Bus Eliminated:]]="Bus Eliminated","",Table1[[#This Row],[Bus Type (A,B,C,D)]]))</f>
        <v/>
      </c>
      <c r="AA150" s="209"/>
      <c r="AB150" s="244"/>
      <c r="AC150" s="211"/>
      <c r="AD150" s="211"/>
      <c r="AE150" s="211"/>
      <c r="AF150" s="201"/>
    </row>
    <row r="151" spans="1:32" ht="12" customHeight="1">
      <c r="A151" s="62" t="str">
        <f>IF(A150&lt;Application!$D$24,A150+1,"")</f>
        <v/>
      </c>
      <c r="B151" s="245"/>
      <c r="C151" s="245"/>
      <c r="D151" s="244"/>
      <c r="E151" s="245"/>
      <c r="F151" s="213"/>
      <c r="G151" s="209"/>
      <c r="H151" s="247"/>
      <c r="I151" s="245"/>
      <c r="J151" s="245"/>
      <c r="K151" s="209"/>
      <c r="L151" s="209"/>
      <c r="M151" s="211"/>
      <c r="N151" s="209"/>
      <c r="O151" s="244"/>
      <c r="P151" s="212"/>
      <c r="Q15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1" s="213"/>
      <c r="S151" s="213"/>
      <c r="T151" s="213"/>
      <c r="U151" s="209"/>
      <c r="V151" s="213"/>
      <c r="W151" s="214"/>
      <c r="X151" s="245"/>
      <c r="Y151" s="244"/>
      <c r="Z151" s="226" t="str">
        <f>IF(Table1[[#This Row],[Bus Type (A,B,C,D)]]="","",IF(Table1[[#This Row],[New Engine Fuel Type or Bus Eliminated:]]="Bus Eliminated","",Table1[[#This Row],[Bus Type (A,B,C,D)]]))</f>
        <v/>
      </c>
      <c r="AA151" s="209"/>
      <c r="AB151" s="244"/>
      <c r="AC151" s="211"/>
      <c r="AD151" s="211"/>
      <c r="AE151" s="211"/>
      <c r="AF151" s="201"/>
    </row>
    <row r="152" spans="1:32" ht="12" customHeight="1">
      <c r="A152" s="62" t="str">
        <f>IF(A151&lt;Application!$D$24,A151+1,"")</f>
        <v/>
      </c>
      <c r="B152" s="245"/>
      <c r="C152" s="245"/>
      <c r="D152" s="244"/>
      <c r="E152" s="245"/>
      <c r="F152" s="213"/>
      <c r="G152" s="209"/>
      <c r="H152" s="247"/>
      <c r="I152" s="245"/>
      <c r="J152" s="245"/>
      <c r="K152" s="209"/>
      <c r="L152" s="209"/>
      <c r="M152" s="211"/>
      <c r="N152" s="209"/>
      <c r="O152" s="244"/>
      <c r="P152" s="212"/>
      <c r="Q15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2" s="213"/>
      <c r="S152" s="213"/>
      <c r="T152" s="213"/>
      <c r="U152" s="209"/>
      <c r="V152" s="213"/>
      <c r="W152" s="214"/>
      <c r="X152" s="245"/>
      <c r="Y152" s="244"/>
      <c r="Z152" s="226" t="str">
        <f>IF(Table1[[#This Row],[Bus Type (A,B,C,D)]]="","",IF(Table1[[#This Row],[New Engine Fuel Type or Bus Eliminated:]]="Bus Eliminated","",Table1[[#This Row],[Bus Type (A,B,C,D)]]))</f>
        <v/>
      </c>
      <c r="AA152" s="209"/>
      <c r="AB152" s="244"/>
      <c r="AC152" s="211"/>
      <c r="AD152" s="211"/>
      <c r="AE152" s="211"/>
      <c r="AF152" s="201"/>
    </row>
    <row r="153" spans="1:32" ht="12" customHeight="1">
      <c r="A153" s="62" t="str">
        <f>IF(A152&lt;Application!$D$24,A152+1,"")</f>
        <v/>
      </c>
      <c r="B153" s="245"/>
      <c r="C153" s="245"/>
      <c r="D153" s="244"/>
      <c r="E153" s="245"/>
      <c r="F153" s="213"/>
      <c r="G153" s="209"/>
      <c r="H153" s="247"/>
      <c r="I153" s="245"/>
      <c r="J153" s="245"/>
      <c r="K153" s="209"/>
      <c r="L153" s="209"/>
      <c r="M153" s="211"/>
      <c r="N153" s="209"/>
      <c r="O153" s="244"/>
      <c r="P153" s="212"/>
      <c r="Q15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3" s="213"/>
      <c r="S153" s="213"/>
      <c r="T153" s="213"/>
      <c r="U153" s="209"/>
      <c r="V153" s="213"/>
      <c r="W153" s="214"/>
      <c r="X153" s="245"/>
      <c r="Y153" s="244"/>
      <c r="Z153" s="226" t="str">
        <f>IF(Table1[[#This Row],[Bus Type (A,B,C,D)]]="","",IF(Table1[[#This Row],[New Engine Fuel Type or Bus Eliminated:]]="Bus Eliminated","",Table1[[#This Row],[Bus Type (A,B,C,D)]]))</f>
        <v/>
      </c>
      <c r="AA153" s="209"/>
      <c r="AB153" s="244"/>
      <c r="AC153" s="211"/>
      <c r="AD153" s="211"/>
      <c r="AE153" s="211"/>
      <c r="AF153" s="201"/>
    </row>
    <row r="154" spans="1:32" ht="12" customHeight="1">
      <c r="A154" s="62" t="str">
        <f>IF(A153&lt;Application!$D$24,A153+1,"")</f>
        <v/>
      </c>
      <c r="B154" s="245"/>
      <c r="C154" s="245"/>
      <c r="D154" s="244"/>
      <c r="E154" s="245"/>
      <c r="F154" s="213"/>
      <c r="G154" s="209"/>
      <c r="H154" s="247"/>
      <c r="I154" s="245"/>
      <c r="J154" s="245"/>
      <c r="K154" s="209"/>
      <c r="L154" s="209"/>
      <c r="M154" s="211"/>
      <c r="N154" s="209"/>
      <c r="O154" s="244"/>
      <c r="P154" s="212"/>
      <c r="Q15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4" s="213"/>
      <c r="S154" s="213"/>
      <c r="T154" s="213"/>
      <c r="U154" s="209"/>
      <c r="V154" s="213"/>
      <c r="W154" s="214"/>
      <c r="X154" s="245"/>
      <c r="Y154" s="244"/>
      <c r="Z154" s="226" t="str">
        <f>IF(Table1[[#This Row],[Bus Type (A,B,C,D)]]="","",IF(Table1[[#This Row],[New Engine Fuel Type or Bus Eliminated:]]="Bus Eliminated","",Table1[[#This Row],[Bus Type (A,B,C,D)]]))</f>
        <v/>
      </c>
      <c r="AA154" s="209"/>
      <c r="AB154" s="244"/>
      <c r="AC154" s="211"/>
      <c r="AD154" s="211"/>
      <c r="AE154" s="211"/>
      <c r="AF154" s="201"/>
    </row>
    <row r="155" spans="1:32" ht="12" customHeight="1">
      <c r="A155" s="62" t="str">
        <f>IF(A154&lt;Application!$D$24,A154+1,"")</f>
        <v/>
      </c>
      <c r="B155" s="245"/>
      <c r="C155" s="245"/>
      <c r="D155" s="244"/>
      <c r="E155" s="245"/>
      <c r="F155" s="213"/>
      <c r="G155" s="209"/>
      <c r="H155" s="247"/>
      <c r="I155" s="245"/>
      <c r="J155" s="245"/>
      <c r="K155" s="209"/>
      <c r="L155" s="209"/>
      <c r="M155" s="211"/>
      <c r="N155" s="209"/>
      <c r="O155" s="244"/>
      <c r="P155" s="212"/>
      <c r="Q15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5" s="213"/>
      <c r="S155" s="213"/>
      <c r="T155" s="213"/>
      <c r="U155" s="209"/>
      <c r="V155" s="213"/>
      <c r="W155" s="214"/>
      <c r="X155" s="245"/>
      <c r="Y155" s="244"/>
      <c r="Z155" s="226" t="str">
        <f>IF(Table1[[#This Row],[Bus Type (A,B,C,D)]]="","",IF(Table1[[#This Row],[New Engine Fuel Type or Bus Eliminated:]]="Bus Eliminated","",Table1[[#This Row],[Bus Type (A,B,C,D)]]))</f>
        <v/>
      </c>
      <c r="AA155" s="209"/>
      <c r="AB155" s="244"/>
      <c r="AC155" s="211"/>
      <c r="AD155" s="211"/>
      <c r="AE155" s="211"/>
      <c r="AF155" s="201"/>
    </row>
    <row r="156" spans="1:32" ht="12" customHeight="1">
      <c r="A156" s="62" t="str">
        <f>IF(A155&lt;Application!$D$24,A155+1,"")</f>
        <v/>
      </c>
      <c r="B156" s="245"/>
      <c r="C156" s="245"/>
      <c r="D156" s="244"/>
      <c r="E156" s="245"/>
      <c r="F156" s="213"/>
      <c r="G156" s="209"/>
      <c r="H156" s="247"/>
      <c r="I156" s="245"/>
      <c r="J156" s="245"/>
      <c r="K156" s="209"/>
      <c r="L156" s="209"/>
      <c r="M156" s="211"/>
      <c r="N156" s="209"/>
      <c r="O156" s="244"/>
      <c r="P156" s="212"/>
      <c r="Q15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6" s="213"/>
      <c r="S156" s="213"/>
      <c r="T156" s="213"/>
      <c r="U156" s="209"/>
      <c r="V156" s="213"/>
      <c r="W156" s="214"/>
      <c r="X156" s="245"/>
      <c r="Y156" s="244"/>
      <c r="Z156" s="226" t="str">
        <f>IF(Table1[[#This Row],[Bus Type (A,B,C,D)]]="","",IF(Table1[[#This Row],[New Engine Fuel Type or Bus Eliminated:]]="Bus Eliminated","",Table1[[#This Row],[Bus Type (A,B,C,D)]]))</f>
        <v/>
      </c>
      <c r="AA156" s="209"/>
      <c r="AB156" s="244"/>
      <c r="AC156" s="211"/>
      <c r="AD156" s="211"/>
      <c r="AE156" s="211"/>
      <c r="AF156" s="201"/>
    </row>
    <row r="157" spans="1:32" ht="12" customHeight="1">
      <c r="A157" s="62" t="str">
        <f>IF(A156&lt;Application!$D$24,A156+1,"")</f>
        <v/>
      </c>
      <c r="B157" s="245"/>
      <c r="C157" s="245"/>
      <c r="D157" s="244"/>
      <c r="E157" s="245"/>
      <c r="F157" s="213"/>
      <c r="G157" s="209"/>
      <c r="H157" s="247"/>
      <c r="I157" s="245"/>
      <c r="J157" s="245"/>
      <c r="K157" s="209"/>
      <c r="L157" s="209"/>
      <c r="M157" s="211"/>
      <c r="N157" s="209"/>
      <c r="O157" s="244"/>
      <c r="P157" s="212"/>
      <c r="Q15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7" s="213"/>
      <c r="S157" s="213"/>
      <c r="T157" s="213"/>
      <c r="U157" s="209"/>
      <c r="V157" s="213"/>
      <c r="W157" s="214"/>
      <c r="X157" s="245"/>
      <c r="Y157" s="244"/>
      <c r="Z157" s="226" t="str">
        <f>IF(Table1[[#This Row],[Bus Type (A,B,C,D)]]="","",IF(Table1[[#This Row],[New Engine Fuel Type or Bus Eliminated:]]="Bus Eliminated","",Table1[[#This Row],[Bus Type (A,B,C,D)]]))</f>
        <v/>
      </c>
      <c r="AA157" s="209"/>
      <c r="AB157" s="244"/>
      <c r="AC157" s="211"/>
      <c r="AD157" s="211"/>
      <c r="AE157" s="211"/>
      <c r="AF157" s="201"/>
    </row>
    <row r="158" spans="1:32" ht="12" customHeight="1">
      <c r="A158" s="62" t="str">
        <f>IF(A157&lt;Application!$D$24,A157+1,"")</f>
        <v/>
      </c>
      <c r="B158" s="245"/>
      <c r="C158" s="245"/>
      <c r="D158" s="244"/>
      <c r="E158" s="245"/>
      <c r="F158" s="213"/>
      <c r="G158" s="209"/>
      <c r="H158" s="247"/>
      <c r="I158" s="245"/>
      <c r="J158" s="245"/>
      <c r="K158" s="209"/>
      <c r="L158" s="209"/>
      <c r="M158" s="211"/>
      <c r="N158" s="209"/>
      <c r="O158" s="244"/>
      <c r="P158" s="212"/>
      <c r="Q15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8" s="213"/>
      <c r="S158" s="213"/>
      <c r="T158" s="213"/>
      <c r="U158" s="209"/>
      <c r="V158" s="213"/>
      <c r="W158" s="214"/>
      <c r="X158" s="245"/>
      <c r="Y158" s="244"/>
      <c r="Z158" s="226" t="str">
        <f>IF(Table1[[#This Row],[Bus Type (A,B,C,D)]]="","",IF(Table1[[#This Row],[New Engine Fuel Type or Bus Eliminated:]]="Bus Eliminated","",Table1[[#This Row],[Bus Type (A,B,C,D)]]))</f>
        <v/>
      </c>
      <c r="AA158" s="209"/>
      <c r="AB158" s="244"/>
      <c r="AC158" s="211"/>
      <c r="AD158" s="211"/>
      <c r="AE158" s="211"/>
      <c r="AF158" s="201"/>
    </row>
    <row r="159" spans="1:32" ht="12" customHeight="1">
      <c r="A159" s="62" t="str">
        <f>IF(A158&lt;Application!$D$24,A158+1,"")</f>
        <v/>
      </c>
      <c r="B159" s="245"/>
      <c r="C159" s="245"/>
      <c r="D159" s="244"/>
      <c r="E159" s="245"/>
      <c r="F159" s="213"/>
      <c r="G159" s="209"/>
      <c r="H159" s="247"/>
      <c r="I159" s="245"/>
      <c r="J159" s="245"/>
      <c r="K159" s="209"/>
      <c r="L159" s="209"/>
      <c r="M159" s="211"/>
      <c r="N159" s="209"/>
      <c r="O159" s="244"/>
      <c r="P159" s="212"/>
      <c r="Q15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9" s="213"/>
      <c r="S159" s="213"/>
      <c r="T159" s="213"/>
      <c r="U159" s="209"/>
      <c r="V159" s="213"/>
      <c r="W159" s="214"/>
      <c r="X159" s="245"/>
      <c r="Y159" s="244"/>
      <c r="Z159" s="226" t="str">
        <f>IF(Table1[[#This Row],[Bus Type (A,B,C,D)]]="","",IF(Table1[[#This Row],[New Engine Fuel Type or Bus Eliminated:]]="Bus Eliminated","",Table1[[#This Row],[Bus Type (A,B,C,D)]]))</f>
        <v/>
      </c>
      <c r="AA159" s="209"/>
      <c r="AB159" s="244"/>
      <c r="AC159" s="211"/>
      <c r="AD159" s="211"/>
      <c r="AE159" s="211"/>
      <c r="AF159" s="201"/>
    </row>
    <row r="160" spans="1:32" ht="12" customHeight="1">
      <c r="A160" s="62" t="str">
        <f>IF(A159&lt;Application!$D$24,A159+1,"")</f>
        <v/>
      </c>
      <c r="B160" s="245"/>
      <c r="C160" s="245"/>
      <c r="D160" s="244"/>
      <c r="E160" s="245"/>
      <c r="F160" s="213"/>
      <c r="G160" s="209"/>
      <c r="H160" s="247"/>
      <c r="I160" s="245"/>
      <c r="J160" s="245"/>
      <c r="K160" s="209"/>
      <c r="L160" s="209"/>
      <c r="M160" s="211"/>
      <c r="N160" s="209"/>
      <c r="O160" s="244"/>
      <c r="P160" s="212"/>
      <c r="Q16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0" s="213"/>
      <c r="S160" s="213"/>
      <c r="T160" s="213"/>
      <c r="U160" s="209"/>
      <c r="V160" s="213"/>
      <c r="W160" s="214"/>
      <c r="X160" s="245"/>
      <c r="Y160" s="244"/>
      <c r="Z160" s="226" t="str">
        <f>IF(Table1[[#This Row],[Bus Type (A,B,C,D)]]="","",IF(Table1[[#This Row],[New Engine Fuel Type or Bus Eliminated:]]="Bus Eliminated","",Table1[[#This Row],[Bus Type (A,B,C,D)]]))</f>
        <v/>
      </c>
      <c r="AA160" s="209"/>
      <c r="AB160" s="244"/>
      <c r="AC160" s="211"/>
      <c r="AD160" s="211"/>
      <c r="AE160" s="211"/>
      <c r="AF160" s="201"/>
    </row>
    <row r="161" spans="1:32" ht="12" customHeight="1">
      <c r="A161" s="62" t="str">
        <f>IF(A160&lt;Application!$D$24,A160+1,"")</f>
        <v/>
      </c>
      <c r="B161" s="245"/>
      <c r="C161" s="245"/>
      <c r="D161" s="244"/>
      <c r="E161" s="245"/>
      <c r="F161" s="213"/>
      <c r="G161" s="209"/>
      <c r="H161" s="247"/>
      <c r="I161" s="245"/>
      <c r="J161" s="245"/>
      <c r="K161" s="209"/>
      <c r="L161" s="209"/>
      <c r="M161" s="211"/>
      <c r="N161" s="209"/>
      <c r="O161" s="244"/>
      <c r="P161" s="212"/>
      <c r="Q16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1" s="213"/>
      <c r="S161" s="213"/>
      <c r="T161" s="213"/>
      <c r="U161" s="209"/>
      <c r="V161" s="213"/>
      <c r="W161" s="214"/>
      <c r="X161" s="245"/>
      <c r="Y161" s="244"/>
      <c r="Z161" s="226" t="str">
        <f>IF(Table1[[#This Row],[Bus Type (A,B,C,D)]]="","",IF(Table1[[#This Row],[New Engine Fuel Type or Bus Eliminated:]]="Bus Eliminated","",Table1[[#This Row],[Bus Type (A,B,C,D)]]))</f>
        <v/>
      </c>
      <c r="AA161" s="209"/>
      <c r="AB161" s="244"/>
      <c r="AC161" s="211"/>
      <c r="AD161" s="211"/>
      <c r="AE161" s="211"/>
      <c r="AF161" s="201"/>
    </row>
    <row r="162" spans="1:32" ht="12" customHeight="1">
      <c r="A162" s="62" t="str">
        <f>IF(A161&lt;Application!$D$24,A161+1,"")</f>
        <v/>
      </c>
      <c r="B162" s="245"/>
      <c r="C162" s="245"/>
      <c r="D162" s="244"/>
      <c r="E162" s="245"/>
      <c r="F162" s="213"/>
      <c r="G162" s="209"/>
      <c r="H162" s="247"/>
      <c r="I162" s="245"/>
      <c r="J162" s="245"/>
      <c r="K162" s="209"/>
      <c r="L162" s="209"/>
      <c r="M162" s="211"/>
      <c r="N162" s="209"/>
      <c r="O162" s="244"/>
      <c r="P162" s="212"/>
      <c r="Q16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2" s="213"/>
      <c r="S162" s="213"/>
      <c r="T162" s="213"/>
      <c r="U162" s="209"/>
      <c r="V162" s="213"/>
      <c r="W162" s="214"/>
      <c r="X162" s="245"/>
      <c r="Y162" s="244"/>
      <c r="Z162" s="226" t="str">
        <f>IF(Table1[[#This Row],[Bus Type (A,B,C,D)]]="","",IF(Table1[[#This Row],[New Engine Fuel Type or Bus Eliminated:]]="Bus Eliminated","",Table1[[#This Row],[Bus Type (A,B,C,D)]]))</f>
        <v/>
      </c>
      <c r="AA162" s="209"/>
      <c r="AB162" s="244"/>
      <c r="AC162" s="211"/>
      <c r="AD162" s="211"/>
      <c r="AE162" s="211"/>
      <c r="AF162" s="201"/>
    </row>
    <row r="163" spans="1:32" ht="12" customHeight="1">
      <c r="A163" s="62" t="str">
        <f>IF(A162&lt;Application!$D$24,A162+1,"")</f>
        <v/>
      </c>
      <c r="B163" s="245"/>
      <c r="C163" s="245"/>
      <c r="D163" s="244"/>
      <c r="E163" s="245"/>
      <c r="F163" s="213"/>
      <c r="G163" s="209"/>
      <c r="H163" s="247"/>
      <c r="I163" s="245"/>
      <c r="J163" s="245"/>
      <c r="K163" s="209"/>
      <c r="L163" s="209"/>
      <c r="M163" s="211"/>
      <c r="N163" s="209"/>
      <c r="O163" s="244"/>
      <c r="P163" s="212"/>
      <c r="Q16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3" s="213"/>
      <c r="S163" s="213"/>
      <c r="T163" s="213"/>
      <c r="U163" s="209"/>
      <c r="V163" s="213"/>
      <c r="W163" s="214"/>
      <c r="X163" s="245"/>
      <c r="Y163" s="244"/>
      <c r="Z163" s="226" t="str">
        <f>IF(Table1[[#This Row],[Bus Type (A,B,C,D)]]="","",IF(Table1[[#This Row],[New Engine Fuel Type or Bus Eliminated:]]="Bus Eliminated","",Table1[[#This Row],[Bus Type (A,B,C,D)]]))</f>
        <v/>
      </c>
      <c r="AA163" s="209"/>
      <c r="AB163" s="244"/>
      <c r="AC163" s="211"/>
      <c r="AD163" s="211"/>
      <c r="AE163" s="211"/>
      <c r="AF163" s="201"/>
    </row>
    <row r="164" spans="1:32" ht="12" customHeight="1">
      <c r="A164" s="62" t="str">
        <f>IF(A163&lt;Application!$D$24,A163+1,"")</f>
        <v/>
      </c>
      <c r="B164" s="245"/>
      <c r="C164" s="245"/>
      <c r="D164" s="244"/>
      <c r="E164" s="245"/>
      <c r="F164" s="213"/>
      <c r="G164" s="209"/>
      <c r="H164" s="247"/>
      <c r="I164" s="245"/>
      <c r="J164" s="245"/>
      <c r="K164" s="209"/>
      <c r="L164" s="209"/>
      <c r="M164" s="211"/>
      <c r="N164" s="209"/>
      <c r="O164" s="244"/>
      <c r="P164" s="212"/>
      <c r="Q16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4" s="213"/>
      <c r="S164" s="213"/>
      <c r="T164" s="213"/>
      <c r="U164" s="209"/>
      <c r="V164" s="213"/>
      <c r="W164" s="214"/>
      <c r="X164" s="245"/>
      <c r="Y164" s="244"/>
      <c r="Z164" s="226" t="str">
        <f>IF(Table1[[#This Row],[Bus Type (A,B,C,D)]]="","",IF(Table1[[#This Row],[New Engine Fuel Type or Bus Eliminated:]]="Bus Eliminated","",Table1[[#This Row],[Bus Type (A,B,C,D)]]))</f>
        <v/>
      </c>
      <c r="AA164" s="209"/>
      <c r="AB164" s="244"/>
      <c r="AC164" s="211"/>
      <c r="AD164" s="211"/>
      <c r="AE164" s="211"/>
      <c r="AF164" s="201"/>
    </row>
    <row r="165" spans="1:32" ht="12" customHeight="1">
      <c r="A165" s="62" t="str">
        <f>IF(A164&lt;Application!$D$24,A164+1,"")</f>
        <v/>
      </c>
      <c r="B165" s="245"/>
      <c r="C165" s="245"/>
      <c r="D165" s="244"/>
      <c r="E165" s="245"/>
      <c r="F165" s="213"/>
      <c r="G165" s="209"/>
      <c r="H165" s="247"/>
      <c r="I165" s="245"/>
      <c r="J165" s="245"/>
      <c r="K165" s="209"/>
      <c r="L165" s="209"/>
      <c r="M165" s="211"/>
      <c r="N165" s="209"/>
      <c r="O165" s="244"/>
      <c r="P165" s="212"/>
      <c r="Q16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5" s="213"/>
      <c r="S165" s="213"/>
      <c r="T165" s="213"/>
      <c r="U165" s="209"/>
      <c r="V165" s="213"/>
      <c r="W165" s="214"/>
      <c r="X165" s="245"/>
      <c r="Y165" s="244"/>
      <c r="Z165" s="226" t="str">
        <f>IF(Table1[[#This Row],[Bus Type (A,B,C,D)]]="","",IF(Table1[[#This Row],[New Engine Fuel Type or Bus Eliminated:]]="Bus Eliminated","",Table1[[#This Row],[Bus Type (A,B,C,D)]]))</f>
        <v/>
      </c>
      <c r="AA165" s="209"/>
      <c r="AB165" s="244"/>
      <c r="AC165" s="211"/>
      <c r="AD165" s="211"/>
      <c r="AE165" s="211"/>
      <c r="AF165" s="201"/>
    </row>
    <row r="166" spans="1:32" ht="12" customHeight="1">
      <c r="A166" s="62" t="str">
        <f>IF(A165&lt;Application!$D$24,A165+1,"")</f>
        <v/>
      </c>
      <c r="B166" s="245"/>
      <c r="C166" s="245"/>
      <c r="D166" s="244"/>
      <c r="E166" s="245"/>
      <c r="F166" s="213"/>
      <c r="G166" s="209"/>
      <c r="H166" s="247"/>
      <c r="I166" s="245"/>
      <c r="J166" s="245"/>
      <c r="K166" s="209"/>
      <c r="L166" s="209"/>
      <c r="M166" s="211"/>
      <c r="N166" s="209"/>
      <c r="O166" s="244"/>
      <c r="P166" s="212"/>
      <c r="Q16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6" s="213"/>
      <c r="S166" s="213"/>
      <c r="T166" s="213"/>
      <c r="U166" s="209"/>
      <c r="V166" s="213"/>
      <c r="W166" s="214"/>
      <c r="X166" s="245"/>
      <c r="Y166" s="244"/>
      <c r="Z166" s="226" t="str">
        <f>IF(Table1[[#This Row],[Bus Type (A,B,C,D)]]="","",IF(Table1[[#This Row],[New Engine Fuel Type or Bus Eliminated:]]="Bus Eliminated","",Table1[[#This Row],[Bus Type (A,B,C,D)]]))</f>
        <v/>
      </c>
      <c r="AA166" s="209"/>
      <c r="AB166" s="244"/>
      <c r="AC166" s="211"/>
      <c r="AD166" s="211"/>
      <c r="AE166" s="211"/>
      <c r="AF166" s="201"/>
    </row>
    <row r="167" spans="1:32" ht="12" customHeight="1">
      <c r="A167" s="62" t="str">
        <f>IF(A166&lt;Application!$D$24,A166+1,"")</f>
        <v/>
      </c>
      <c r="B167" s="245"/>
      <c r="C167" s="245"/>
      <c r="D167" s="244"/>
      <c r="E167" s="245"/>
      <c r="F167" s="213"/>
      <c r="G167" s="209"/>
      <c r="H167" s="247"/>
      <c r="I167" s="245"/>
      <c r="J167" s="245"/>
      <c r="K167" s="209"/>
      <c r="L167" s="209"/>
      <c r="M167" s="211"/>
      <c r="N167" s="209"/>
      <c r="O167" s="244"/>
      <c r="P167" s="212"/>
      <c r="Q16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7" s="213"/>
      <c r="S167" s="213"/>
      <c r="T167" s="213"/>
      <c r="U167" s="209"/>
      <c r="V167" s="213"/>
      <c r="W167" s="214"/>
      <c r="X167" s="245"/>
      <c r="Y167" s="244"/>
      <c r="Z167" s="226" t="str">
        <f>IF(Table1[[#This Row],[Bus Type (A,B,C,D)]]="","",IF(Table1[[#This Row],[New Engine Fuel Type or Bus Eliminated:]]="Bus Eliminated","",Table1[[#This Row],[Bus Type (A,B,C,D)]]))</f>
        <v/>
      </c>
      <c r="AA167" s="209"/>
      <c r="AB167" s="244"/>
      <c r="AC167" s="211"/>
      <c r="AD167" s="211"/>
      <c r="AE167" s="211"/>
      <c r="AF167" s="201"/>
    </row>
    <row r="168" spans="1:32" ht="12" customHeight="1">
      <c r="A168" s="62" t="str">
        <f>IF(A167&lt;Application!$D$24,A167+1,"")</f>
        <v/>
      </c>
      <c r="B168" s="245"/>
      <c r="C168" s="245"/>
      <c r="D168" s="244"/>
      <c r="E168" s="245"/>
      <c r="F168" s="213"/>
      <c r="G168" s="209"/>
      <c r="H168" s="247"/>
      <c r="I168" s="245"/>
      <c r="J168" s="245"/>
      <c r="K168" s="209"/>
      <c r="L168" s="209"/>
      <c r="M168" s="211"/>
      <c r="N168" s="209"/>
      <c r="O168" s="244"/>
      <c r="P168" s="212"/>
      <c r="Q16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8" s="213"/>
      <c r="S168" s="213"/>
      <c r="T168" s="213"/>
      <c r="U168" s="209"/>
      <c r="V168" s="213"/>
      <c r="W168" s="214"/>
      <c r="X168" s="245"/>
      <c r="Y168" s="244"/>
      <c r="Z168" s="226" t="str">
        <f>IF(Table1[[#This Row],[Bus Type (A,B,C,D)]]="","",IF(Table1[[#This Row],[New Engine Fuel Type or Bus Eliminated:]]="Bus Eliminated","",Table1[[#This Row],[Bus Type (A,B,C,D)]]))</f>
        <v/>
      </c>
      <c r="AA168" s="209"/>
      <c r="AB168" s="244"/>
      <c r="AC168" s="211"/>
      <c r="AD168" s="211"/>
      <c r="AE168" s="211"/>
      <c r="AF168" s="201"/>
    </row>
    <row r="169" spans="1:32" ht="12" customHeight="1">
      <c r="A169" s="62" t="str">
        <f>IF(A168&lt;Application!$D$24,A168+1,"")</f>
        <v/>
      </c>
      <c r="B169" s="245"/>
      <c r="C169" s="245"/>
      <c r="D169" s="244"/>
      <c r="E169" s="245"/>
      <c r="F169" s="213"/>
      <c r="G169" s="209"/>
      <c r="H169" s="247"/>
      <c r="I169" s="245"/>
      <c r="J169" s="245"/>
      <c r="K169" s="209"/>
      <c r="L169" s="209"/>
      <c r="M169" s="211"/>
      <c r="N169" s="209"/>
      <c r="O169" s="244"/>
      <c r="P169" s="212"/>
      <c r="Q16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9" s="213"/>
      <c r="S169" s="213"/>
      <c r="T169" s="213"/>
      <c r="U169" s="209"/>
      <c r="V169" s="213"/>
      <c r="W169" s="214"/>
      <c r="X169" s="245"/>
      <c r="Y169" s="244"/>
      <c r="Z169" s="226" t="str">
        <f>IF(Table1[[#This Row],[Bus Type (A,B,C,D)]]="","",IF(Table1[[#This Row],[New Engine Fuel Type or Bus Eliminated:]]="Bus Eliminated","",Table1[[#This Row],[Bus Type (A,B,C,D)]]))</f>
        <v/>
      </c>
      <c r="AA169" s="209"/>
      <c r="AB169" s="244"/>
      <c r="AC169" s="211"/>
      <c r="AD169" s="211"/>
      <c r="AE169" s="211"/>
      <c r="AF169" s="201"/>
    </row>
    <row r="170" spans="1:32" ht="12" customHeight="1">
      <c r="A170" s="62" t="str">
        <f>IF(A169&lt;Application!$D$24,A169+1,"")</f>
        <v/>
      </c>
      <c r="B170" s="245"/>
      <c r="C170" s="245"/>
      <c r="D170" s="244"/>
      <c r="E170" s="245"/>
      <c r="F170" s="213"/>
      <c r="G170" s="209"/>
      <c r="H170" s="247"/>
      <c r="I170" s="245"/>
      <c r="J170" s="245"/>
      <c r="K170" s="209"/>
      <c r="L170" s="209"/>
      <c r="M170" s="211"/>
      <c r="N170" s="209"/>
      <c r="O170" s="244"/>
      <c r="P170" s="212"/>
      <c r="Q17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0" s="213"/>
      <c r="S170" s="213"/>
      <c r="T170" s="213"/>
      <c r="U170" s="209"/>
      <c r="V170" s="213"/>
      <c r="W170" s="214"/>
      <c r="X170" s="245"/>
      <c r="Y170" s="244"/>
      <c r="Z170" s="226" t="str">
        <f>IF(Table1[[#This Row],[Bus Type (A,B,C,D)]]="","",IF(Table1[[#This Row],[New Engine Fuel Type or Bus Eliminated:]]="Bus Eliminated","",Table1[[#This Row],[Bus Type (A,B,C,D)]]))</f>
        <v/>
      </c>
      <c r="AA170" s="209"/>
      <c r="AB170" s="244"/>
      <c r="AC170" s="211"/>
      <c r="AD170" s="211"/>
      <c r="AE170" s="211"/>
      <c r="AF170" s="201"/>
    </row>
    <row r="171" spans="1:32" ht="12" customHeight="1">
      <c r="A171" s="62" t="str">
        <f>IF(A170&lt;Application!$D$24,A170+1,"")</f>
        <v/>
      </c>
      <c r="B171" s="245"/>
      <c r="C171" s="245"/>
      <c r="D171" s="244"/>
      <c r="E171" s="245"/>
      <c r="F171" s="213"/>
      <c r="G171" s="209"/>
      <c r="H171" s="247"/>
      <c r="I171" s="245"/>
      <c r="J171" s="245"/>
      <c r="K171" s="209"/>
      <c r="L171" s="209"/>
      <c r="M171" s="211"/>
      <c r="N171" s="209"/>
      <c r="O171" s="244"/>
      <c r="P171" s="212"/>
      <c r="Q17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1" s="213"/>
      <c r="S171" s="213"/>
      <c r="T171" s="213"/>
      <c r="U171" s="209"/>
      <c r="V171" s="213"/>
      <c r="W171" s="214"/>
      <c r="X171" s="245"/>
      <c r="Y171" s="244"/>
      <c r="Z171" s="226" t="str">
        <f>IF(Table1[[#This Row],[Bus Type (A,B,C,D)]]="","",IF(Table1[[#This Row],[New Engine Fuel Type or Bus Eliminated:]]="Bus Eliminated","",Table1[[#This Row],[Bus Type (A,B,C,D)]]))</f>
        <v/>
      </c>
      <c r="AA171" s="209"/>
      <c r="AB171" s="244"/>
      <c r="AC171" s="211"/>
      <c r="AD171" s="211"/>
      <c r="AE171" s="211"/>
      <c r="AF171" s="201"/>
    </row>
    <row r="172" spans="1:32" ht="12" customHeight="1">
      <c r="A172" s="62" t="str">
        <f>IF(A171&lt;Application!$D$24,A171+1,"")</f>
        <v/>
      </c>
      <c r="B172" s="245"/>
      <c r="C172" s="245"/>
      <c r="D172" s="244"/>
      <c r="E172" s="245"/>
      <c r="F172" s="213"/>
      <c r="G172" s="209"/>
      <c r="H172" s="247"/>
      <c r="I172" s="245"/>
      <c r="J172" s="245"/>
      <c r="K172" s="209"/>
      <c r="L172" s="209"/>
      <c r="M172" s="211"/>
      <c r="N172" s="209"/>
      <c r="O172" s="244"/>
      <c r="P172" s="212"/>
      <c r="Q17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2" s="213"/>
      <c r="S172" s="213"/>
      <c r="T172" s="213"/>
      <c r="U172" s="209"/>
      <c r="V172" s="213"/>
      <c r="W172" s="214"/>
      <c r="X172" s="245"/>
      <c r="Y172" s="244"/>
      <c r="Z172" s="226" t="str">
        <f>IF(Table1[[#This Row],[Bus Type (A,B,C,D)]]="","",IF(Table1[[#This Row],[New Engine Fuel Type or Bus Eliminated:]]="Bus Eliminated","",Table1[[#This Row],[Bus Type (A,B,C,D)]]))</f>
        <v/>
      </c>
      <c r="AA172" s="209"/>
      <c r="AB172" s="244"/>
      <c r="AC172" s="211"/>
      <c r="AD172" s="211"/>
      <c r="AE172" s="211"/>
      <c r="AF172" s="201"/>
    </row>
    <row r="173" spans="1:32" ht="12" customHeight="1">
      <c r="A173" s="62" t="str">
        <f>IF(A172&lt;Application!$D$24,A172+1,"")</f>
        <v/>
      </c>
      <c r="B173" s="245"/>
      <c r="C173" s="245"/>
      <c r="D173" s="244"/>
      <c r="E173" s="245"/>
      <c r="F173" s="213"/>
      <c r="G173" s="209"/>
      <c r="H173" s="247"/>
      <c r="I173" s="245"/>
      <c r="J173" s="245"/>
      <c r="K173" s="209"/>
      <c r="L173" s="209"/>
      <c r="M173" s="211"/>
      <c r="N173" s="209"/>
      <c r="O173" s="244"/>
      <c r="P173" s="212"/>
      <c r="Q17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3" s="213"/>
      <c r="S173" s="213"/>
      <c r="T173" s="213"/>
      <c r="U173" s="209"/>
      <c r="V173" s="213"/>
      <c r="W173" s="214"/>
      <c r="X173" s="245"/>
      <c r="Y173" s="244"/>
      <c r="Z173" s="226" t="str">
        <f>IF(Table1[[#This Row],[Bus Type (A,B,C,D)]]="","",IF(Table1[[#This Row],[New Engine Fuel Type or Bus Eliminated:]]="Bus Eliminated","",Table1[[#This Row],[Bus Type (A,B,C,D)]]))</f>
        <v/>
      </c>
      <c r="AA173" s="209"/>
      <c r="AB173" s="244"/>
      <c r="AC173" s="211"/>
      <c r="AD173" s="211"/>
      <c r="AE173" s="211"/>
      <c r="AF173" s="201"/>
    </row>
    <row r="174" spans="1:32" ht="12" customHeight="1">
      <c r="A174" s="62" t="str">
        <f>IF(A173&lt;Application!$D$24,A173+1,"")</f>
        <v/>
      </c>
      <c r="B174" s="245"/>
      <c r="C174" s="245"/>
      <c r="D174" s="244"/>
      <c r="E174" s="245"/>
      <c r="F174" s="213"/>
      <c r="G174" s="209"/>
      <c r="H174" s="247"/>
      <c r="I174" s="245"/>
      <c r="J174" s="245"/>
      <c r="K174" s="209"/>
      <c r="L174" s="209"/>
      <c r="M174" s="211"/>
      <c r="N174" s="209"/>
      <c r="O174" s="244"/>
      <c r="P174" s="212"/>
      <c r="Q17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4" s="213"/>
      <c r="S174" s="213"/>
      <c r="T174" s="213"/>
      <c r="U174" s="209"/>
      <c r="V174" s="213"/>
      <c r="W174" s="214"/>
      <c r="X174" s="245"/>
      <c r="Y174" s="244"/>
      <c r="Z174" s="226" t="str">
        <f>IF(Table1[[#This Row],[Bus Type (A,B,C,D)]]="","",IF(Table1[[#This Row],[New Engine Fuel Type or Bus Eliminated:]]="Bus Eliminated","",Table1[[#This Row],[Bus Type (A,B,C,D)]]))</f>
        <v/>
      </c>
      <c r="AA174" s="209"/>
      <c r="AB174" s="244"/>
      <c r="AC174" s="211"/>
      <c r="AD174" s="211"/>
      <c r="AE174" s="211"/>
      <c r="AF174" s="201"/>
    </row>
    <row r="175" spans="1:32" ht="12" customHeight="1">
      <c r="A175" s="62" t="str">
        <f>IF(A174&lt;Application!$D$24,A174+1,"")</f>
        <v/>
      </c>
      <c r="B175" s="245"/>
      <c r="C175" s="245"/>
      <c r="D175" s="244"/>
      <c r="E175" s="245"/>
      <c r="F175" s="213"/>
      <c r="G175" s="209"/>
      <c r="H175" s="247"/>
      <c r="I175" s="245"/>
      <c r="J175" s="245"/>
      <c r="K175" s="209"/>
      <c r="L175" s="209"/>
      <c r="M175" s="211"/>
      <c r="N175" s="209"/>
      <c r="O175" s="244"/>
      <c r="P175" s="212"/>
      <c r="Q17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5" s="213"/>
      <c r="S175" s="213"/>
      <c r="T175" s="213"/>
      <c r="U175" s="209"/>
      <c r="V175" s="213"/>
      <c r="W175" s="214"/>
      <c r="X175" s="245"/>
      <c r="Y175" s="244"/>
      <c r="Z175" s="226" t="str">
        <f>IF(Table1[[#This Row],[Bus Type (A,B,C,D)]]="","",IF(Table1[[#This Row],[New Engine Fuel Type or Bus Eliminated:]]="Bus Eliminated","",Table1[[#This Row],[Bus Type (A,B,C,D)]]))</f>
        <v/>
      </c>
      <c r="AA175" s="209"/>
      <c r="AB175" s="244"/>
      <c r="AC175" s="211"/>
      <c r="AD175" s="211"/>
      <c r="AE175" s="211"/>
      <c r="AF175" s="201"/>
    </row>
    <row r="176" spans="1:32" ht="12" customHeight="1">
      <c r="A176" s="62" t="str">
        <f>IF(A175&lt;Application!$D$24,A175+1,"")</f>
        <v/>
      </c>
      <c r="B176" s="245"/>
      <c r="C176" s="245"/>
      <c r="D176" s="244"/>
      <c r="E176" s="245"/>
      <c r="F176" s="213"/>
      <c r="G176" s="209"/>
      <c r="H176" s="247"/>
      <c r="I176" s="245"/>
      <c r="J176" s="245"/>
      <c r="K176" s="209"/>
      <c r="L176" s="209"/>
      <c r="M176" s="211"/>
      <c r="N176" s="209"/>
      <c r="O176" s="244"/>
      <c r="P176" s="212"/>
      <c r="Q17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6" s="213"/>
      <c r="S176" s="213"/>
      <c r="T176" s="213"/>
      <c r="U176" s="209"/>
      <c r="V176" s="213"/>
      <c r="W176" s="214"/>
      <c r="X176" s="245"/>
      <c r="Y176" s="244"/>
      <c r="Z176" s="226" t="str">
        <f>IF(Table1[[#This Row],[Bus Type (A,B,C,D)]]="","",IF(Table1[[#This Row],[New Engine Fuel Type or Bus Eliminated:]]="Bus Eliminated","",Table1[[#This Row],[Bus Type (A,B,C,D)]]))</f>
        <v/>
      </c>
      <c r="AA176" s="209"/>
      <c r="AB176" s="244"/>
      <c r="AC176" s="211"/>
      <c r="AD176" s="211"/>
      <c r="AE176" s="211"/>
      <c r="AF176" s="201"/>
    </row>
    <row r="177" spans="1:32" ht="12" customHeight="1">
      <c r="A177" s="62" t="str">
        <f>IF(A176&lt;Application!$D$24,A176+1,"")</f>
        <v/>
      </c>
      <c r="B177" s="245"/>
      <c r="C177" s="245"/>
      <c r="D177" s="244"/>
      <c r="E177" s="245"/>
      <c r="F177" s="213"/>
      <c r="G177" s="209"/>
      <c r="H177" s="247"/>
      <c r="I177" s="245"/>
      <c r="J177" s="245"/>
      <c r="K177" s="209"/>
      <c r="L177" s="209"/>
      <c r="M177" s="211"/>
      <c r="N177" s="209"/>
      <c r="O177" s="244"/>
      <c r="P177" s="212"/>
      <c r="Q17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7" s="213"/>
      <c r="S177" s="213"/>
      <c r="T177" s="213"/>
      <c r="U177" s="209"/>
      <c r="V177" s="213"/>
      <c r="W177" s="214"/>
      <c r="X177" s="245"/>
      <c r="Y177" s="244"/>
      <c r="Z177" s="226" t="str">
        <f>IF(Table1[[#This Row],[Bus Type (A,B,C,D)]]="","",IF(Table1[[#This Row],[New Engine Fuel Type or Bus Eliminated:]]="Bus Eliminated","",Table1[[#This Row],[Bus Type (A,B,C,D)]]))</f>
        <v/>
      </c>
      <c r="AA177" s="209"/>
      <c r="AB177" s="244"/>
      <c r="AC177" s="211"/>
      <c r="AD177" s="211"/>
      <c r="AE177" s="211"/>
      <c r="AF177" s="201"/>
    </row>
    <row r="178" spans="1:32" ht="12" customHeight="1">
      <c r="A178" s="62" t="str">
        <f>IF(A177&lt;Application!$D$24,A177+1,"")</f>
        <v/>
      </c>
      <c r="B178" s="245"/>
      <c r="C178" s="245"/>
      <c r="D178" s="244"/>
      <c r="E178" s="245"/>
      <c r="F178" s="213"/>
      <c r="G178" s="209"/>
      <c r="H178" s="247"/>
      <c r="I178" s="245"/>
      <c r="J178" s="245"/>
      <c r="K178" s="209"/>
      <c r="L178" s="209"/>
      <c r="M178" s="211"/>
      <c r="N178" s="209"/>
      <c r="O178" s="244"/>
      <c r="P178" s="212"/>
      <c r="Q17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8" s="213"/>
      <c r="S178" s="213"/>
      <c r="T178" s="213"/>
      <c r="U178" s="209"/>
      <c r="V178" s="213"/>
      <c r="W178" s="214"/>
      <c r="X178" s="245"/>
      <c r="Y178" s="244"/>
      <c r="Z178" s="226" t="str">
        <f>IF(Table1[[#This Row],[Bus Type (A,B,C,D)]]="","",IF(Table1[[#This Row],[New Engine Fuel Type or Bus Eliminated:]]="Bus Eliminated","",Table1[[#This Row],[Bus Type (A,B,C,D)]]))</f>
        <v/>
      </c>
      <c r="AA178" s="209"/>
      <c r="AB178" s="244"/>
      <c r="AC178" s="211"/>
      <c r="AD178" s="211"/>
      <c r="AE178" s="211"/>
      <c r="AF178" s="201"/>
    </row>
    <row r="179" spans="1:32" ht="12" customHeight="1">
      <c r="A179" s="62" t="str">
        <f>IF(A178&lt;Application!$D$24,A178+1,"")</f>
        <v/>
      </c>
      <c r="B179" s="245"/>
      <c r="C179" s="245"/>
      <c r="D179" s="244"/>
      <c r="E179" s="245"/>
      <c r="F179" s="213"/>
      <c r="G179" s="209"/>
      <c r="H179" s="247"/>
      <c r="I179" s="245"/>
      <c r="J179" s="245"/>
      <c r="K179" s="209"/>
      <c r="L179" s="209"/>
      <c r="M179" s="211"/>
      <c r="N179" s="209"/>
      <c r="O179" s="244"/>
      <c r="P179" s="212"/>
      <c r="Q17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9" s="213"/>
      <c r="S179" s="213"/>
      <c r="T179" s="213"/>
      <c r="U179" s="209"/>
      <c r="V179" s="213"/>
      <c r="W179" s="214"/>
      <c r="X179" s="245"/>
      <c r="Y179" s="244"/>
      <c r="Z179" s="226" t="str">
        <f>IF(Table1[[#This Row],[Bus Type (A,B,C,D)]]="","",IF(Table1[[#This Row],[New Engine Fuel Type or Bus Eliminated:]]="Bus Eliminated","",Table1[[#This Row],[Bus Type (A,B,C,D)]]))</f>
        <v/>
      </c>
      <c r="AA179" s="209"/>
      <c r="AB179" s="244"/>
      <c r="AC179" s="211"/>
      <c r="AD179" s="211"/>
      <c r="AE179" s="211"/>
      <c r="AF179" s="201"/>
    </row>
    <row r="180" spans="1:32" ht="12" customHeight="1">
      <c r="A180" s="62" t="str">
        <f>IF(A179&lt;Application!$D$24,A179+1,"")</f>
        <v/>
      </c>
      <c r="B180" s="245"/>
      <c r="C180" s="245"/>
      <c r="D180" s="244"/>
      <c r="E180" s="245"/>
      <c r="F180" s="213"/>
      <c r="G180" s="209"/>
      <c r="H180" s="247"/>
      <c r="I180" s="245"/>
      <c r="J180" s="245"/>
      <c r="K180" s="209"/>
      <c r="L180" s="209"/>
      <c r="M180" s="211"/>
      <c r="N180" s="209"/>
      <c r="O180" s="244"/>
      <c r="P180" s="212"/>
      <c r="Q18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0" s="213"/>
      <c r="S180" s="213"/>
      <c r="T180" s="213"/>
      <c r="U180" s="209"/>
      <c r="V180" s="213"/>
      <c r="W180" s="214"/>
      <c r="X180" s="245"/>
      <c r="Y180" s="244"/>
      <c r="Z180" s="226" t="str">
        <f>IF(Table1[[#This Row],[Bus Type (A,B,C,D)]]="","",IF(Table1[[#This Row],[New Engine Fuel Type or Bus Eliminated:]]="Bus Eliminated","",Table1[[#This Row],[Bus Type (A,B,C,D)]]))</f>
        <v/>
      </c>
      <c r="AA180" s="209"/>
      <c r="AB180" s="244"/>
      <c r="AC180" s="211"/>
      <c r="AD180" s="211"/>
      <c r="AE180" s="211"/>
      <c r="AF180" s="201"/>
    </row>
    <row r="181" spans="1:32" ht="12" customHeight="1">
      <c r="A181" s="62" t="str">
        <f>IF(A180&lt;Application!$D$24,A180+1,"")</f>
        <v/>
      </c>
      <c r="B181" s="245"/>
      <c r="C181" s="245"/>
      <c r="D181" s="244"/>
      <c r="E181" s="245"/>
      <c r="F181" s="213"/>
      <c r="G181" s="209"/>
      <c r="H181" s="247"/>
      <c r="I181" s="245"/>
      <c r="J181" s="245"/>
      <c r="K181" s="209"/>
      <c r="L181" s="209"/>
      <c r="M181" s="211"/>
      <c r="N181" s="209"/>
      <c r="O181" s="244"/>
      <c r="P181" s="212"/>
      <c r="Q18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1" s="213"/>
      <c r="S181" s="213"/>
      <c r="T181" s="213"/>
      <c r="U181" s="209"/>
      <c r="V181" s="213"/>
      <c r="W181" s="214"/>
      <c r="X181" s="245"/>
      <c r="Y181" s="244"/>
      <c r="Z181" s="226" t="str">
        <f>IF(Table1[[#This Row],[Bus Type (A,B,C,D)]]="","",IF(Table1[[#This Row],[New Engine Fuel Type or Bus Eliminated:]]="Bus Eliminated","",Table1[[#This Row],[Bus Type (A,B,C,D)]]))</f>
        <v/>
      </c>
      <c r="AA181" s="209"/>
      <c r="AB181" s="244"/>
      <c r="AC181" s="211"/>
      <c r="AD181" s="211"/>
      <c r="AE181" s="211"/>
      <c r="AF181" s="201"/>
    </row>
    <row r="182" spans="1:32" ht="12" customHeight="1">
      <c r="A182" s="62" t="str">
        <f>IF(A181&lt;Application!$D$24,A181+1,"")</f>
        <v/>
      </c>
      <c r="B182" s="245"/>
      <c r="C182" s="245"/>
      <c r="D182" s="244"/>
      <c r="E182" s="245"/>
      <c r="F182" s="213"/>
      <c r="G182" s="209"/>
      <c r="H182" s="247"/>
      <c r="I182" s="245"/>
      <c r="J182" s="245"/>
      <c r="K182" s="209"/>
      <c r="L182" s="209"/>
      <c r="M182" s="211"/>
      <c r="N182" s="209"/>
      <c r="O182" s="244"/>
      <c r="P182" s="212"/>
      <c r="Q18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2" s="213"/>
      <c r="S182" s="213"/>
      <c r="T182" s="213"/>
      <c r="U182" s="209"/>
      <c r="V182" s="213"/>
      <c r="W182" s="214"/>
      <c r="X182" s="245"/>
      <c r="Y182" s="244"/>
      <c r="Z182" s="226" t="str">
        <f>IF(Table1[[#This Row],[Bus Type (A,B,C,D)]]="","",IF(Table1[[#This Row],[New Engine Fuel Type or Bus Eliminated:]]="Bus Eliminated","",Table1[[#This Row],[Bus Type (A,B,C,D)]]))</f>
        <v/>
      </c>
      <c r="AA182" s="209"/>
      <c r="AB182" s="244"/>
      <c r="AC182" s="211"/>
      <c r="AD182" s="211"/>
      <c r="AE182" s="211"/>
      <c r="AF182" s="201"/>
    </row>
    <row r="183" spans="1:32" ht="12" customHeight="1">
      <c r="A183" s="62" t="str">
        <f>IF(A182&lt;Application!$D$24,A182+1,"")</f>
        <v/>
      </c>
      <c r="B183" s="245"/>
      <c r="C183" s="245"/>
      <c r="D183" s="244"/>
      <c r="E183" s="245"/>
      <c r="F183" s="213"/>
      <c r="G183" s="209"/>
      <c r="H183" s="247"/>
      <c r="I183" s="245"/>
      <c r="J183" s="245"/>
      <c r="K183" s="209"/>
      <c r="L183" s="209"/>
      <c r="M183" s="211"/>
      <c r="N183" s="209"/>
      <c r="O183" s="244"/>
      <c r="P183" s="212"/>
      <c r="Q18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3" s="213"/>
      <c r="S183" s="213"/>
      <c r="T183" s="213"/>
      <c r="U183" s="209"/>
      <c r="V183" s="213"/>
      <c r="W183" s="214"/>
      <c r="X183" s="245"/>
      <c r="Y183" s="244"/>
      <c r="Z183" s="226" t="str">
        <f>IF(Table1[[#This Row],[Bus Type (A,B,C,D)]]="","",IF(Table1[[#This Row],[New Engine Fuel Type or Bus Eliminated:]]="Bus Eliminated","",Table1[[#This Row],[Bus Type (A,B,C,D)]]))</f>
        <v/>
      </c>
      <c r="AA183" s="209"/>
      <c r="AB183" s="244"/>
      <c r="AC183" s="211"/>
      <c r="AD183" s="211"/>
      <c r="AE183" s="211"/>
      <c r="AF183" s="201"/>
    </row>
    <row r="184" spans="1:32" ht="12" customHeight="1">
      <c r="A184" s="62" t="str">
        <f>IF(A183&lt;Application!$D$24,A183+1,"")</f>
        <v/>
      </c>
      <c r="B184" s="245"/>
      <c r="C184" s="245"/>
      <c r="D184" s="244"/>
      <c r="E184" s="245"/>
      <c r="F184" s="213"/>
      <c r="G184" s="209"/>
      <c r="H184" s="247"/>
      <c r="I184" s="245"/>
      <c r="J184" s="245"/>
      <c r="K184" s="209"/>
      <c r="L184" s="209"/>
      <c r="M184" s="211"/>
      <c r="N184" s="209"/>
      <c r="O184" s="244"/>
      <c r="P184" s="212"/>
      <c r="Q18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4" s="213"/>
      <c r="S184" s="213"/>
      <c r="T184" s="213"/>
      <c r="U184" s="209"/>
      <c r="V184" s="213"/>
      <c r="W184" s="214"/>
      <c r="X184" s="245"/>
      <c r="Y184" s="244"/>
      <c r="Z184" s="226" t="str">
        <f>IF(Table1[[#This Row],[Bus Type (A,B,C,D)]]="","",IF(Table1[[#This Row],[New Engine Fuel Type or Bus Eliminated:]]="Bus Eliminated","",Table1[[#This Row],[Bus Type (A,B,C,D)]]))</f>
        <v/>
      </c>
      <c r="AA184" s="209"/>
      <c r="AB184" s="244"/>
      <c r="AC184" s="211"/>
      <c r="AD184" s="211"/>
      <c r="AE184" s="211"/>
      <c r="AF184" s="201"/>
    </row>
    <row r="185" spans="1:32" ht="12" customHeight="1">
      <c r="A185" s="62" t="str">
        <f>IF(A184&lt;Application!$D$24,A184+1,"")</f>
        <v/>
      </c>
      <c r="B185" s="245"/>
      <c r="C185" s="245"/>
      <c r="D185" s="244"/>
      <c r="E185" s="245"/>
      <c r="F185" s="213"/>
      <c r="G185" s="209"/>
      <c r="H185" s="247"/>
      <c r="I185" s="245"/>
      <c r="J185" s="245"/>
      <c r="K185" s="209"/>
      <c r="L185" s="209"/>
      <c r="M185" s="211"/>
      <c r="N185" s="209"/>
      <c r="O185" s="244"/>
      <c r="P185" s="212"/>
      <c r="Q18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5" s="213"/>
      <c r="S185" s="213"/>
      <c r="T185" s="213"/>
      <c r="U185" s="209"/>
      <c r="V185" s="213"/>
      <c r="W185" s="214"/>
      <c r="X185" s="245"/>
      <c r="Y185" s="244"/>
      <c r="Z185" s="226" t="str">
        <f>IF(Table1[[#This Row],[Bus Type (A,B,C,D)]]="","",IF(Table1[[#This Row],[New Engine Fuel Type or Bus Eliminated:]]="Bus Eliminated","",Table1[[#This Row],[Bus Type (A,B,C,D)]]))</f>
        <v/>
      </c>
      <c r="AA185" s="209"/>
      <c r="AB185" s="244"/>
      <c r="AC185" s="211"/>
      <c r="AD185" s="211"/>
      <c r="AE185" s="211"/>
      <c r="AF185" s="201"/>
    </row>
    <row r="186" spans="1:32" ht="12" customHeight="1">
      <c r="A186" s="62" t="str">
        <f>IF(A185&lt;Application!$D$24,A185+1,"")</f>
        <v/>
      </c>
      <c r="B186" s="245"/>
      <c r="C186" s="245"/>
      <c r="D186" s="244"/>
      <c r="E186" s="245"/>
      <c r="F186" s="213"/>
      <c r="G186" s="209"/>
      <c r="H186" s="247"/>
      <c r="I186" s="245"/>
      <c r="J186" s="245"/>
      <c r="K186" s="209"/>
      <c r="L186" s="209"/>
      <c r="M186" s="211"/>
      <c r="N186" s="209"/>
      <c r="O186" s="244"/>
      <c r="P186" s="212"/>
      <c r="Q18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6" s="213"/>
      <c r="S186" s="213"/>
      <c r="T186" s="213"/>
      <c r="U186" s="209"/>
      <c r="V186" s="213"/>
      <c r="W186" s="214"/>
      <c r="X186" s="245"/>
      <c r="Y186" s="244"/>
      <c r="Z186" s="226" t="str">
        <f>IF(Table1[[#This Row],[Bus Type (A,B,C,D)]]="","",IF(Table1[[#This Row],[New Engine Fuel Type or Bus Eliminated:]]="Bus Eliminated","",Table1[[#This Row],[Bus Type (A,B,C,D)]]))</f>
        <v/>
      </c>
      <c r="AA186" s="209"/>
      <c r="AB186" s="244"/>
      <c r="AC186" s="211"/>
      <c r="AD186" s="211"/>
      <c r="AE186" s="211"/>
      <c r="AF186" s="201"/>
    </row>
    <row r="187" spans="1:32" ht="12" customHeight="1">
      <c r="A187" s="62" t="str">
        <f>IF(A186&lt;Application!$D$24,A186+1,"")</f>
        <v/>
      </c>
      <c r="B187" s="245"/>
      <c r="C187" s="245"/>
      <c r="D187" s="244"/>
      <c r="E187" s="245"/>
      <c r="F187" s="213"/>
      <c r="G187" s="209"/>
      <c r="H187" s="247"/>
      <c r="I187" s="245"/>
      <c r="J187" s="245"/>
      <c r="K187" s="209"/>
      <c r="L187" s="209"/>
      <c r="M187" s="211"/>
      <c r="N187" s="209"/>
      <c r="O187" s="244"/>
      <c r="P187" s="212"/>
      <c r="Q18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7" s="213"/>
      <c r="S187" s="213"/>
      <c r="T187" s="213"/>
      <c r="U187" s="209"/>
      <c r="V187" s="213"/>
      <c r="W187" s="214"/>
      <c r="X187" s="245"/>
      <c r="Y187" s="244"/>
      <c r="Z187" s="226" t="str">
        <f>IF(Table1[[#This Row],[Bus Type (A,B,C,D)]]="","",IF(Table1[[#This Row],[New Engine Fuel Type or Bus Eliminated:]]="Bus Eliminated","",Table1[[#This Row],[Bus Type (A,B,C,D)]]))</f>
        <v/>
      </c>
      <c r="AA187" s="209"/>
      <c r="AB187" s="244"/>
      <c r="AC187" s="211"/>
      <c r="AD187" s="211"/>
      <c r="AE187" s="211"/>
      <c r="AF187" s="201"/>
    </row>
    <row r="188" spans="1:32" ht="12" customHeight="1">
      <c r="A188" s="62" t="str">
        <f>IF(A187&lt;Application!$D$24,A187+1,"")</f>
        <v/>
      </c>
      <c r="B188" s="245"/>
      <c r="C188" s="245"/>
      <c r="D188" s="244"/>
      <c r="E188" s="245"/>
      <c r="F188" s="213"/>
      <c r="G188" s="209"/>
      <c r="H188" s="247"/>
      <c r="I188" s="245"/>
      <c r="J188" s="245"/>
      <c r="K188" s="209"/>
      <c r="L188" s="209"/>
      <c r="M188" s="211"/>
      <c r="N188" s="209"/>
      <c r="O188" s="244"/>
      <c r="P188" s="212"/>
      <c r="Q18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8" s="213"/>
      <c r="S188" s="213"/>
      <c r="T188" s="213"/>
      <c r="U188" s="209"/>
      <c r="V188" s="213"/>
      <c r="W188" s="214"/>
      <c r="X188" s="245"/>
      <c r="Y188" s="244"/>
      <c r="Z188" s="226" t="str">
        <f>IF(Table1[[#This Row],[Bus Type (A,B,C,D)]]="","",IF(Table1[[#This Row],[New Engine Fuel Type or Bus Eliminated:]]="Bus Eliminated","",Table1[[#This Row],[Bus Type (A,B,C,D)]]))</f>
        <v/>
      </c>
      <c r="AA188" s="209"/>
      <c r="AB188" s="244"/>
      <c r="AC188" s="211"/>
      <c r="AD188" s="211"/>
      <c r="AE188" s="211"/>
      <c r="AF188" s="201"/>
    </row>
    <row r="189" spans="1:32" ht="12" customHeight="1">
      <c r="A189" s="62" t="str">
        <f>IF(A188&lt;Application!$D$24,A188+1,"")</f>
        <v/>
      </c>
      <c r="B189" s="245"/>
      <c r="C189" s="245"/>
      <c r="D189" s="244"/>
      <c r="E189" s="245"/>
      <c r="F189" s="213"/>
      <c r="G189" s="209"/>
      <c r="H189" s="247"/>
      <c r="I189" s="245"/>
      <c r="J189" s="245"/>
      <c r="K189" s="209"/>
      <c r="L189" s="209"/>
      <c r="M189" s="211"/>
      <c r="N189" s="209"/>
      <c r="O189" s="244"/>
      <c r="P189" s="212"/>
      <c r="Q18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9" s="213"/>
      <c r="S189" s="213"/>
      <c r="T189" s="213"/>
      <c r="U189" s="209"/>
      <c r="V189" s="213"/>
      <c r="W189" s="214"/>
      <c r="X189" s="245"/>
      <c r="Y189" s="244"/>
      <c r="Z189" s="226" t="str">
        <f>IF(Table1[[#This Row],[Bus Type (A,B,C,D)]]="","",IF(Table1[[#This Row],[New Engine Fuel Type or Bus Eliminated:]]="Bus Eliminated","",Table1[[#This Row],[Bus Type (A,B,C,D)]]))</f>
        <v/>
      </c>
      <c r="AA189" s="209"/>
      <c r="AB189" s="244"/>
      <c r="AC189" s="211"/>
      <c r="AD189" s="211"/>
      <c r="AE189" s="211"/>
      <c r="AF189" s="201"/>
    </row>
    <row r="190" spans="1:32" ht="12" customHeight="1">
      <c r="A190" s="62" t="str">
        <f>IF(A189&lt;Application!$D$24,A189+1,"")</f>
        <v/>
      </c>
      <c r="B190" s="245"/>
      <c r="C190" s="245"/>
      <c r="D190" s="244"/>
      <c r="E190" s="245"/>
      <c r="F190" s="213"/>
      <c r="G190" s="209"/>
      <c r="H190" s="247"/>
      <c r="I190" s="245"/>
      <c r="J190" s="245"/>
      <c r="K190" s="209"/>
      <c r="L190" s="209"/>
      <c r="M190" s="211"/>
      <c r="N190" s="209"/>
      <c r="O190" s="244"/>
      <c r="P190" s="212"/>
      <c r="Q19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0" s="213"/>
      <c r="S190" s="213"/>
      <c r="T190" s="213"/>
      <c r="U190" s="209"/>
      <c r="V190" s="213"/>
      <c r="W190" s="214"/>
      <c r="X190" s="245"/>
      <c r="Y190" s="244"/>
      <c r="Z190" s="226" t="str">
        <f>IF(Table1[[#This Row],[Bus Type (A,B,C,D)]]="","",IF(Table1[[#This Row],[New Engine Fuel Type or Bus Eliminated:]]="Bus Eliminated","",Table1[[#This Row],[Bus Type (A,B,C,D)]]))</f>
        <v/>
      </c>
      <c r="AA190" s="209"/>
      <c r="AB190" s="244"/>
      <c r="AC190" s="211"/>
      <c r="AD190" s="211"/>
      <c r="AE190" s="211"/>
      <c r="AF190" s="201"/>
    </row>
    <row r="191" spans="1:32" ht="12" customHeight="1">
      <c r="A191" s="62" t="str">
        <f>IF(A190&lt;Application!$D$24,A190+1,"")</f>
        <v/>
      </c>
      <c r="B191" s="245"/>
      <c r="C191" s="245"/>
      <c r="D191" s="244"/>
      <c r="E191" s="245"/>
      <c r="F191" s="213"/>
      <c r="G191" s="209"/>
      <c r="H191" s="247"/>
      <c r="I191" s="245"/>
      <c r="J191" s="245"/>
      <c r="K191" s="209"/>
      <c r="L191" s="209"/>
      <c r="M191" s="211"/>
      <c r="N191" s="209"/>
      <c r="O191" s="244"/>
      <c r="P191" s="212"/>
      <c r="Q19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1" s="213"/>
      <c r="S191" s="213"/>
      <c r="T191" s="213"/>
      <c r="U191" s="209"/>
      <c r="V191" s="213"/>
      <c r="W191" s="214"/>
      <c r="X191" s="245"/>
      <c r="Y191" s="244"/>
      <c r="Z191" s="226" t="str">
        <f>IF(Table1[[#This Row],[Bus Type (A,B,C,D)]]="","",IF(Table1[[#This Row],[New Engine Fuel Type or Bus Eliminated:]]="Bus Eliminated","",Table1[[#This Row],[Bus Type (A,B,C,D)]]))</f>
        <v/>
      </c>
      <c r="AA191" s="209"/>
      <c r="AB191" s="244"/>
      <c r="AC191" s="211"/>
      <c r="AD191" s="211"/>
      <c r="AE191" s="211"/>
      <c r="AF191" s="201"/>
    </row>
    <row r="192" spans="1:32" ht="12" customHeight="1">
      <c r="A192" s="62" t="str">
        <f>IF(A191&lt;Application!$D$24,A191+1,"")</f>
        <v/>
      </c>
      <c r="B192" s="245"/>
      <c r="C192" s="245"/>
      <c r="D192" s="244"/>
      <c r="E192" s="245"/>
      <c r="F192" s="213"/>
      <c r="G192" s="209"/>
      <c r="H192" s="247"/>
      <c r="I192" s="245"/>
      <c r="J192" s="245"/>
      <c r="K192" s="209"/>
      <c r="L192" s="209"/>
      <c r="M192" s="211"/>
      <c r="N192" s="209"/>
      <c r="O192" s="244"/>
      <c r="P192" s="212"/>
      <c r="Q19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2" s="213"/>
      <c r="S192" s="213"/>
      <c r="T192" s="213"/>
      <c r="U192" s="209"/>
      <c r="V192" s="213"/>
      <c r="W192" s="214"/>
      <c r="X192" s="245"/>
      <c r="Y192" s="244"/>
      <c r="Z192" s="226" t="str">
        <f>IF(Table1[[#This Row],[Bus Type (A,B,C,D)]]="","",IF(Table1[[#This Row],[New Engine Fuel Type or Bus Eliminated:]]="Bus Eliminated","",Table1[[#This Row],[Bus Type (A,B,C,D)]]))</f>
        <v/>
      </c>
      <c r="AA192" s="209"/>
      <c r="AB192" s="244"/>
      <c r="AC192" s="211"/>
      <c r="AD192" s="211"/>
      <c r="AE192" s="211"/>
      <c r="AF192" s="201"/>
    </row>
    <row r="193" spans="1:32" ht="12" customHeight="1">
      <c r="A193" s="62" t="str">
        <f>IF(A192&lt;Application!$D$24,A192+1,"")</f>
        <v/>
      </c>
      <c r="B193" s="245"/>
      <c r="C193" s="245"/>
      <c r="D193" s="244"/>
      <c r="E193" s="245"/>
      <c r="F193" s="213"/>
      <c r="G193" s="209"/>
      <c r="H193" s="247"/>
      <c r="I193" s="245"/>
      <c r="J193" s="245"/>
      <c r="K193" s="209"/>
      <c r="L193" s="209"/>
      <c r="M193" s="211"/>
      <c r="N193" s="209"/>
      <c r="O193" s="244"/>
      <c r="P193" s="212"/>
      <c r="Q19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3" s="213"/>
      <c r="S193" s="213"/>
      <c r="T193" s="213"/>
      <c r="U193" s="209"/>
      <c r="V193" s="213"/>
      <c r="W193" s="214"/>
      <c r="X193" s="245"/>
      <c r="Y193" s="244"/>
      <c r="Z193" s="226" t="str">
        <f>IF(Table1[[#This Row],[Bus Type (A,B,C,D)]]="","",IF(Table1[[#This Row],[New Engine Fuel Type or Bus Eliminated:]]="Bus Eliminated","",Table1[[#This Row],[Bus Type (A,B,C,D)]]))</f>
        <v/>
      </c>
      <c r="AA193" s="209"/>
      <c r="AB193" s="244"/>
      <c r="AC193" s="211"/>
      <c r="AD193" s="211"/>
      <c r="AE193" s="211"/>
      <c r="AF193" s="201"/>
    </row>
    <row r="194" spans="1:32" ht="12" customHeight="1">
      <c r="A194" s="62" t="str">
        <f>IF(A193&lt;Application!$D$24,A193+1,"")</f>
        <v/>
      </c>
      <c r="B194" s="245"/>
      <c r="C194" s="245"/>
      <c r="D194" s="244"/>
      <c r="E194" s="245"/>
      <c r="F194" s="213"/>
      <c r="G194" s="209"/>
      <c r="H194" s="247"/>
      <c r="I194" s="245"/>
      <c r="J194" s="245"/>
      <c r="K194" s="209"/>
      <c r="L194" s="209"/>
      <c r="M194" s="211"/>
      <c r="N194" s="209"/>
      <c r="O194" s="244"/>
      <c r="P194" s="212"/>
      <c r="Q19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4" s="213"/>
      <c r="S194" s="213"/>
      <c r="T194" s="213"/>
      <c r="U194" s="209"/>
      <c r="V194" s="213"/>
      <c r="W194" s="214"/>
      <c r="X194" s="245"/>
      <c r="Y194" s="244"/>
      <c r="Z194" s="226" t="str">
        <f>IF(Table1[[#This Row],[Bus Type (A,B,C,D)]]="","",IF(Table1[[#This Row],[New Engine Fuel Type or Bus Eliminated:]]="Bus Eliminated","",Table1[[#This Row],[Bus Type (A,B,C,D)]]))</f>
        <v/>
      </c>
      <c r="AA194" s="209"/>
      <c r="AB194" s="244"/>
      <c r="AC194" s="211"/>
      <c r="AD194" s="211"/>
      <c r="AE194" s="211"/>
      <c r="AF194" s="201"/>
    </row>
    <row r="195" spans="1:32" ht="12" customHeight="1">
      <c r="A195" s="62" t="str">
        <f>IF(A194&lt;Application!$D$24,A194+1,"")</f>
        <v/>
      </c>
      <c r="B195" s="245"/>
      <c r="C195" s="245"/>
      <c r="D195" s="244"/>
      <c r="E195" s="245"/>
      <c r="F195" s="213"/>
      <c r="G195" s="209"/>
      <c r="H195" s="247"/>
      <c r="I195" s="245"/>
      <c r="J195" s="245"/>
      <c r="K195" s="209"/>
      <c r="L195" s="209"/>
      <c r="M195" s="211"/>
      <c r="N195" s="209"/>
      <c r="O195" s="244"/>
      <c r="P195" s="212"/>
      <c r="Q19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5" s="213"/>
      <c r="S195" s="213"/>
      <c r="T195" s="213"/>
      <c r="U195" s="209"/>
      <c r="V195" s="213"/>
      <c r="W195" s="214"/>
      <c r="X195" s="245"/>
      <c r="Y195" s="244"/>
      <c r="Z195" s="226" t="str">
        <f>IF(Table1[[#This Row],[Bus Type (A,B,C,D)]]="","",IF(Table1[[#This Row],[New Engine Fuel Type or Bus Eliminated:]]="Bus Eliminated","",Table1[[#This Row],[Bus Type (A,B,C,D)]]))</f>
        <v/>
      </c>
      <c r="AA195" s="209"/>
      <c r="AB195" s="244"/>
      <c r="AC195" s="211"/>
      <c r="AD195" s="211"/>
      <c r="AE195" s="211"/>
      <c r="AF195" s="201"/>
    </row>
    <row r="196" spans="1:32" ht="12" customHeight="1">
      <c r="A196" s="62" t="str">
        <f>IF(A195&lt;Application!$D$24,A195+1,"")</f>
        <v/>
      </c>
      <c r="B196" s="245"/>
      <c r="C196" s="245"/>
      <c r="D196" s="244"/>
      <c r="E196" s="245"/>
      <c r="F196" s="213"/>
      <c r="G196" s="209"/>
      <c r="H196" s="247"/>
      <c r="I196" s="245"/>
      <c r="J196" s="245"/>
      <c r="K196" s="209"/>
      <c r="L196" s="209"/>
      <c r="M196" s="211"/>
      <c r="N196" s="209"/>
      <c r="O196" s="244"/>
      <c r="P196" s="212"/>
      <c r="Q19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6" s="213"/>
      <c r="S196" s="213"/>
      <c r="T196" s="213"/>
      <c r="U196" s="209"/>
      <c r="V196" s="213"/>
      <c r="W196" s="214"/>
      <c r="X196" s="245"/>
      <c r="Y196" s="244"/>
      <c r="Z196" s="226" t="str">
        <f>IF(Table1[[#This Row],[Bus Type (A,B,C,D)]]="","",IF(Table1[[#This Row],[New Engine Fuel Type or Bus Eliminated:]]="Bus Eliminated","",Table1[[#This Row],[Bus Type (A,B,C,D)]]))</f>
        <v/>
      </c>
      <c r="AA196" s="209"/>
      <c r="AB196" s="244"/>
      <c r="AC196" s="211"/>
      <c r="AD196" s="211"/>
      <c r="AE196" s="211"/>
      <c r="AF196" s="201"/>
    </row>
    <row r="197" spans="1:32" ht="12" customHeight="1">
      <c r="A197" s="62" t="str">
        <f>IF(A196&lt;Application!$D$24,A196+1,"")</f>
        <v/>
      </c>
      <c r="B197" s="245"/>
      <c r="C197" s="245"/>
      <c r="D197" s="244"/>
      <c r="E197" s="245"/>
      <c r="F197" s="213"/>
      <c r="G197" s="209"/>
      <c r="H197" s="247"/>
      <c r="I197" s="245"/>
      <c r="J197" s="245"/>
      <c r="K197" s="209"/>
      <c r="L197" s="209"/>
      <c r="M197" s="211"/>
      <c r="N197" s="209"/>
      <c r="O197" s="244"/>
      <c r="P197" s="212"/>
      <c r="Q19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7" s="213"/>
      <c r="S197" s="213"/>
      <c r="T197" s="213"/>
      <c r="U197" s="209"/>
      <c r="V197" s="213"/>
      <c r="W197" s="214"/>
      <c r="X197" s="245"/>
      <c r="Y197" s="244"/>
      <c r="Z197" s="226" t="str">
        <f>IF(Table1[[#This Row],[Bus Type (A,B,C,D)]]="","",IF(Table1[[#This Row],[New Engine Fuel Type or Bus Eliminated:]]="Bus Eliminated","",Table1[[#This Row],[Bus Type (A,B,C,D)]]))</f>
        <v/>
      </c>
      <c r="AA197" s="209"/>
      <c r="AB197" s="244"/>
      <c r="AC197" s="211"/>
      <c r="AD197" s="211"/>
      <c r="AE197" s="211"/>
      <c r="AF197" s="201"/>
    </row>
    <row r="198" spans="1:32" ht="12" customHeight="1">
      <c r="A198" s="62" t="str">
        <f>IF(A197&lt;Application!$D$24,A197+1,"")</f>
        <v/>
      </c>
      <c r="B198" s="245"/>
      <c r="C198" s="245"/>
      <c r="D198" s="244"/>
      <c r="E198" s="245"/>
      <c r="F198" s="213"/>
      <c r="G198" s="209"/>
      <c r="H198" s="247"/>
      <c r="I198" s="245"/>
      <c r="J198" s="245"/>
      <c r="K198" s="209"/>
      <c r="L198" s="209"/>
      <c r="M198" s="211"/>
      <c r="N198" s="209"/>
      <c r="O198" s="244"/>
      <c r="P198" s="212"/>
      <c r="Q19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8" s="213"/>
      <c r="S198" s="213"/>
      <c r="T198" s="213"/>
      <c r="U198" s="209"/>
      <c r="V198" s="213"/>
      <c r="W198" s="214"/>
      <c r="X198" s="245"/>
      <c r="Y198" s="244"/>
      <c r="Z198" s="226" t="str">
        <f>IF(Table1[[#This Row],[Bus Type (A,B,C,D)]]="","",IF(Table1[[#This Row],[New Engine Fuel Type or Bus Eliminated:]]="Bus Eliminated","",Table1[[#This Row],[Bus Type (A,B,C,D)]]))</f>
        <v/>
      </c>
      <c r="AA198" s="209"/>
      <c r="AB198" s="244"/>
      <c r="AC198" s="211"/>
      <c r="AD198" s="211"/>
      <c r="AE198" s="211"/>
      <c r="AF198" s="201"/>
    </row>
    <row r="199" spans="1:32" ht="12" customHeight="1">
      <c r="A199" s="62" t="str">
        <f>IF(A198&lt;Application!$D$24,A198+1,"")</f>
        <v/>
      </c>
      <c r="B199" s="245"/>
      <c r="C199" s="245"/>
      <c r="D199" s="244"/>
      <c r="E199" s="245"/>
      <c r="F199" s="213"/>
      <c r="G199" s="209"/>
      <c r="H199" s="247"/>
      <c r="I199" s="245"/>
      <c r="J199" s="245"/>
      <c r="K199" s="209"/>
      <c r="L199" s="209"/>
      <c r="M199" s="211"/>
      <c r="N199" s="209"/>
      <c r="O199" s="244"/>
      <c r="P199" s="212"/>
      <c r="Q19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9" s="213"/>
      <c r="S199" s="213"/>
      <c r="T199" s="213"/>
      <c r="U199" s="209"/>
      <c r="V199" s="213"/>
      <c r="W199" s="214"/>
      <c r="X199" s="245"/>
      <c r="Y199" s="244"/>
      <c r="Z199" s="226" t="str">
        <f>IF(Table1[[#This Row],[Bus Type (A,B,C,D)]]="","",IF(Table1[[#This Row],[New Engine Fuel Type or Bus Eliminated:]]="Bus Eliminated","",Table1[[#This Row],[Bus Type (A,B,C,D)]]))</f>
        <v/>
      </c>
      <c r="AA199" s="209"/>
      <c r="AB199" s="244"/>
      <c r="AC199" s="211"/>
      <c r="AD199" s="211"/>
      <c r="AE199" s="211"/>
      <c r="AF199" s="201"/>
    </row>
    <row r="200" spans="1:32" ht="12" customHeight="1">
      <c r="A200" s="62" t="str">
        <f>IF(A199&lt;Application!$D$24,A199+1,"")</f>
        <v/>
      </c>
      <c r="B200" s="245"/>
      <c r="C200" s="245"/>
      <c r="D200" s="244"/>
      <c r="E200" s="245"/>
      <c r="F200" s="213"/>
      <c r="G200" s="209"/>
      <c r="H200" s="247"/>
      <c r="I200" s="245"/>
      <c r="J200" s="245"/>
      <c r="K200" s="209"/>
      <c r="L200" s="209"/>
      <c r="M200" s="211"/>
      <c r="N200" s="209"/>
      <c r="O200" s="244"/>
      <c r="P200" s="212"/>
      <c r="Q20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0" s="213"/>
      <c r="S200" s="213"/>
      <c r="T200" s="213"/>
      <c r="U200" s="209"/>
      <c r="V200" s="213"/>
      <c r="W200" s="214"/>
      <c r="X200" s="245"/>
      <c r="Y200" s="244"/>
      <c r="Z200" s="226" t="str">
        <f>IF(Table1[[#This Row],[Bus Type (A,B,C,D)]]="","",IF(Table1[[#This Row],[New Engine Fuel Type or Bus Eliminated:]]="Bus Eliminated","",Table1[[#This Row],[Bus Type (A,B,C,D)]]))</f>
        <v/>
      </c>
      <c r="AA200" s="209"/>
      <c r="AB200" s="244"/>
      <c r="AC200" s="211"/>
      <c r="AD200" s="211"/>
      <c r="AE200" s="211"/>
      <c r="AF200" s="201"/>
    </row>
    <row r="201" spans="1:32" ht="12" customHeight="1">
      <c r="A201" s="62" t="str">
        <f>IF(A200&lt;Application!$D$24,A200+1,"")</f>
        <v/>
      </c>
      <c r="B201" s="245"/>
      <c r="C201" s="245"/>
      <c r="D201" s="244"/>
      <c r="E201" s="245"/>
      <c r="F201" s="213"/>
      <c r="G201" s="209"/>
      <c r="H201" s="247"/>
      <c r="I201" s="245"/>
      <c r="J201" s="245"/>
      <c r="K201" s="209"/>
      <c r="L201" s="209"/>
      <c r="M201" s="211"/>
      <c r="N201" s="209"/>
      <c r="O201" s="244"/>
      <c r="P201" s="212"/>
      <c r="Q20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1" s="213"/>
      <c r="S201" s="213"/>
      <c r="T201" s="213"/>
      <c r="U201" s="209"/>
      <c r="V201" s="213"/>
      <c r="W201" s="214"/>
      <c r="X201" s="245"/>
      <c r="Y201" s="244"/>
      <c r="Z201" s="226" t="str">
        <f>IF(Table1[[#This Row],[Bus Type (A,B,C,D)]]="","",IF(Table1[[#This Row],[New Engine Fuel Type or Bus Eliminated:]]="Bus Eliminated","",Table1[[#This Row],[Bus Type (A,B,C,D)]]))</f>
        <v/>
      </c>
      <c r="AA201" s="209"/>
      <c r="AB201" s="244"/>
      <c r="AC201" s="211"/>
      <c r="AD201" s="211"/>
      <c r="AE201" s="211"/>
      <c r="AF201" s="201"/>
    </row>
    <row r="202" spans="1:32" ht="12" customHeight="1">
      <c r="A202" s="62" t="str">
        <f>IF(A201&lt;Application!$D$24,A201+1,"")</f>
        <v/>
      </c>
      <c r="B202" s="245"/>
      <c r="C202" s="245"/>
      <c r="D202" s="244"/>
      <c r="E202" s="245"/>
      <c r="F202" s="213"/>
      <c r="G202" s="209"/>
      <c r="H202" s="247"/>
      <c r="I202" s="245"/>
      <c r="J202" s="245"/>
      <c r="K202" s="209"/>
      <c r="L202" s="209"/>
      <c r="M202" s="211"/>
      <c r="N202" s="209"/>
      <c r="O202" s="244"/>
      <c r="P202" s="212"/>
      <c r="Q20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2" s="213"/>
      <c r="S202" s="213"/>
      <c r="T202" s="213"/>
      <c r="U202" s="209"/>
      <c r="V202" s="213"/>
      <c r="W202" s="214"/>
      <c r="X202" s="245"/>
      <c r="Y202" s="244"/>
      <c r="Z202" s="226" t="str">
        <f>IF(Table1[[#This Row],[Bus Type (A,B,C,D)]]="","",IF(Table1[[#This Row],[New Engine Fuel Type or Bus Eliminated:]]="Bus Eliminated","",Table1[[#This Row],[Bus Type (A,B,C,D)]]))</f>
        <v/>
      </c>
      <c r="AA202" s="209"/>
      <c r="AB202" s="244"/>
      <c r="AC202" s="211"/>
      <c r="AD202" s="211"/>
      <c r="AE202" s="211"/>
      <c r="AF202" s="201"/>
    </row>
    <row r="203" spans="1:32" ht="12" customHeight="1">
      <c r="A203" s="62" t="str">
        <f>IF(A202&lt;Application!$D$24,A202+1,"")</f>
        <v/>
      </c>
      <c r="B203" s="245"/>
      <c r="C203" s="245"/>
      <c r="D203" s="244"/>
      <c r="E203" s="245"/>
      <c r="F203" s="213"/>
      <c r="G203" s="209"/>
      <c r="H203" s="247"/>
      <c r="I203" s="245"/>
      <c r="J203" s="245"/>
      <c r="K203" s="209"/>
      <c r="L203" s="209"/>
      <c r="M203" s="211"/>
      <c r="N203" s="209"/>
      <c r="O203" s="244"/>
      <c r="P203" s="212"/>
      <c r="Q20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3" s="213"/>
      <c r="S203" s="213"/>
      <c r="T203" s="213"/>
      <c r="U203" s="209"/>
      <c r="V203" s="213"/>
      <c r="W203" s="214"/>
      <c r="X203" s="245"/>
      <c r="Y203" s="244"/>
      <c r="Z203" s="226" t="str">
        <f>IF(Table1[[#This Row],[Bus Type (A,B,C,D)]]="","",IF(Table1[[#This Row],[New Engine Fuel Type or Bus Eliminated:]]="Bus Eliminated","",Table1[[#This Row],[Bus Type (A,B,C,D)]]))</f>
        <v/>
      </c>
      <c r="AA203" s="209"/>
      <c r="AB203" s="244"/>
      <c r="AC203" s="211"/>
      <c r="AD203" s="211"/>
      <c r="AE203" s="211"/>
      <c r="AF203" s="201"/>
    </row>
    <row r="204" spans="1:32" ht="12" customHeight="1">
      <c r="A204" s="62" t="str">
        <f>IF(A203&lt;Application!$D$24,A203+1,"")</f>
        <v/>
      </c>
      <c r="B204" s="245"/>
      <c r="C204" s="245"/>
      <c r="D204" s="244"/>
      <c r="E204" s="245"/>
      <c r="F204" s="213"/>
      <c r="G204" s="209"/>
      <c r="H204" s="247"/>
      <c r="I204" s="245"/>
      <c r="J204" s="245"/>
      <c r="K204" s="209"/>
      <c r="L204" s="209"/>
      <c r="M204" s="211"/>
      <c r="N204" s="209"/>
      <c r="O204" s="244"/>
      <c r="P204" s="212"/>
      <c r="Q20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4" s="213"/>
      <c r="S204" s="213"/>
      <c r="T204" s="213"/>
      <c r="U204" s="209"/>
      <c r="V204" s="213"/>
      <c r="W204" s="214"/>
      <c r="X204" s="245"/>
      <c r="Y204" s="244"/>
      <c r="Z204" s="226" t="str">
        <f>IF(Table1[[#This Row],[Bus Type (A,B,C,D)]]="","",IF(Table1[[#This Row],[New Engine Fuel Type or Bus Eliminated:]]="Bus Eliminated","",Table1[[#This Row],[Bus Type (A,B,C,D)]]))</f>
        <v/>
      </c>
      <c r="AA204" s="209"/>
      <c r="AB204" s="244"/>
      <c r="AC204" s="211"/>
      <c r="AD204" s="211"/>
      <c r="AE204" s="211"/>
      <c r="AF204" s="201"/>
    </row>
    <row r="205" spans="1:32" ht="12" customHeight="1">
      <c r="A205" s="62" t="str">
        <f>IF(A204&lt;Application!$D$24,A204+1,"")</f>
        <v/>
      </c>
      <c r="B205" s="245"/>
      <c r="C205" s="245"/>
      <c r="D205" s="244"/>
      <c r="E205" s="245"/>
      <c r="F205" s="213"/>
      <c r="G205" s="209"/>
      <c r="H205" s="247"/>
      <c r="I205" s="245"/>
      <c r="J205" s="245"/>
      <c r="K205" s="209"/>
      <c r="L205" s="209"/>
      <c r="M205" s="211"/>
      <c r="N205" s="209"/>
      <c r="O205" s="244"/>
      <c r="P205" s="212"/>
      <c r="Q20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5" s="213"/>
      <c r="S205" s="213"/>
      <c r="T205" s="213"/>
      <c r="U205" s="209"/>
      <c r="V205" s="213"/>
      <c r="W205" s="214"/>
      <c r="X205" s="245"/>
      <c r="Y205" s="244"/>
      <c r="Z205" s="226" t="str">
        <f>IF(Table1[[#This Row],[Bus Type (A,B,C,D)]]="","",IF(Table1[[#This Row],[New Engine Fuel Type or Bus Eliminated:]]="Bus Eliminated","",Table1[[#This Row],[Bus Type (A,B,C,D)]]))</f>
        <v/>
      </c>
      <c r="AA205" s="209"/>
      <c r="AB205" s="244"/>
      <c r="AC205" s="211"/>
      <c r="AD205" s="211"/>
      <c r="AE205" s="211"/>
      <c r="AF205" s="201"/>
    </row>
    <row r="206" spans="1:32" ht="12" customHeight="1">
      <c r="A206" s="62" t="str">
        <f>IF(A205&lt;Application!$D$24,A205+1,"")</f>
        <v/>
      </c>
      <c r="B206" s="245"/>
      <c r="C206" s="245"/>
      <c r="D206" s="244"/>
      <c r="E206" s="245"/>
      <c r="F206" s="213"/>
      <c r="G206" s="209"/>
      <c r="H206" s="247"/>
      <c r="I206" s="245"/>
      <c r="J206" s="245"/>
      <c r="K206" s="209"/>
      <c r="L206" s="209"/>
      <c r="M206" s="211"/>
      <c r="N206" s="209"/>
      <c r="O206" s="244"/>
      <c r="P206" s="212"/>
      <c r="Q20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6" s="213"/>
      <c r="S206" s="213"/>
      <c r="T206" s="213"/>
      <c r="U206" s="209"/>
      <c r="V206" s="213"/>
      <c r="W206" s="214"/>
      <c r="X206" s="245"/>
      <c r="Y206" s="244"/>
      <c r="Z206" s="226" t="str">
        <f>IF(Table1[[#This Row],[Bus Type (A,B,C,D)]]="","",IF(Table1[[#This Row],[New Engine Fuel Type or Bus Eliminated:]]="Bus Eliminated","",Table1[[#This Row],[Bus Type (A,B,C,D)]]))</f>
        <v/>
      </c>
      <c r="AA206" s="209"/>
      <c r="AB206" s="244"/>
      <c r="AC206" s="211"/>
      <c r="AD206" s="211"/>
      <c r="AE206" s="211"/>
      <c r="AF206" s="201"/>
    </row>
    <row r="207" spans="1:32" ht="12" customHeight="1">
      <c r="A207" s="62" t="str">
        <f>IF(A206&lt;Application!$D$24,A206+1,"")</f>
        <v/>
      </c>
      <c r="B207" s="245"/>
      <c r="C207" s="245"/>
      <c r="D207" s="244"/>
      <c r="E207" s="245"/>
      <c r="F207" s="213"/>
      <c r="G207" s="209"/>
      <c r="H207" s="247"/>
      <c r="I207" s="245"/>
      <c r="J207" s="245"/>
      <c r="K207" s="209"/>
      <c r="L207" s="209"/>
      <c r="M207" s="211"/>
      <c r="N207" s="209"/>
      <c r="O207" s="244"/>
      <c r="P207" s="212"/>
      <c r="Q20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7" s="213"/>
      <c r="S207" s="213"/>
      <c r="T207" s="213"/>
      <c r="U207" s="209"/>
      <c r="V207" s="213"/>
      <c r="W207" s="214"/>
      <c r="X207" s="245"/>
      <c r="Y207" s="244"/>
      <c r="Z207" s="226" t="str">
        <f>IF(Table1[[#This Row],[Bus Type (A,B,C,D)]]="","",IF(Table1[[#This Row],[New Engine Fuel Type or Bus Eliminated:]]="Bus Eliminated","",Table1[[#This Row],[Bus Type (A,B,C,D)]]))</f>
        <v/>
      </c>
      <c r="AA207" s="209"/>
      <c r="AB207" s="244"/>
      <c r="AC207" s="211"/>
      <c r="AD207" s="211"/>
      <c r="AE207" s="211"/>
      <c r="AF207" s="201"/>
    </row>
    <row r="208" spans="1:32" ht="12" customHeight="1">
      <c r="A208" s="62" t="str">
        <f>IF(A207&lt;Application!$D$24,A207+1,"")</f>
        <v/>
      </c>
      <c r="B208" s="245"/>
      <c r="C208" s="245"/>
      <c r="D208" s="244"/>
      <c r="E208" s="245"/>
      <c r="F208" s="213"/>
      <c r="G208" s="209"/>
      <c r="H208" s="247"/>
      <c r="I208" s="245"/>
      <c r="J208" s="245"/>
      <c r="K208" s="209"/>
      <c r="L208" s="209"/>
      <c r="M208" s="211"/>
      <c r="N208" s="209"/>
      <c r="O208" s="244"/>
      <c r="P208" s="212"/>
      <c r="Q20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8" s="213"/>
      <c r="S208" s="213"/>
      <c r="T208" s="213"/>
      <c r="U208" s="209"/>
      <c r="V208" s="213"/>
      <c r="W208" s="214"/>
      <c r="X208" s="245"/>
      <c r="Y208" s="244"/>
      <c r="Z208" s="226" t="str">
        <f>IF(Table1[[#This Row],[Bus Type (A,B,C,D)]]="","",IF(Table1[[#This Row],[New Engine Fuel Type or Bus Eliminated:]]="Bus Eliminated","",Table1[[#This Row],[Bus Type (A,B,C,D)]]))</f>
        <v/>
      </c>
      <c r="AA208" s="209"/>
      <c r="AB208" s="244"/>
      <c r="AC208" s="211"/>
      <c r="AD208" s="211"/>
      <c r="AE208" s="211"/>
      <c r="AF208" s="201"/>
    </row>
    <row r="209" spans="1:32" ht="12" customHeight="1">
      <c r="A209" s="62" t="str">
        <f>IF(A208&lt;Application!$D$24,A208+1,"")</f>
        <v/>
      </c>
      <c r="B209" s="245"/>
      <c r="C209" s="245"/>
      <c r="D209" s="244"/>
      <c r="E209" s="245"/>
      <c r="F209" s="213"/>
      <c r="G209" s="209"/>
      <c r="H209" s="247"/>
      <c r="I209" s="245"/>
      <c r="J209" s="245"/>
      <c r="K209" s="209"/>
      <c r="L209" s="209"/>
      <c r="M209" s="211"/>
      <c r="N209" s="209"/>
      <c r="O209" s="244"/>
      <c r="P209" s="212"/>
      <c r="Q20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9" s="213"/>
      <c r="S209" s="213"/>
      <c r="T209" s="213"/>
      <c r="U209" s="209"/>
      <c r="V209" s="213"/>
      <c r="W209" s="214"/>
      <c r="X209" s="245"/>
      <c r="Y209" s="244"/>
      <c r="Z209" s="226" t="str">
        <f>IF(Table1[[#This Row],[Bus Type (A,B,C,D)]]="","",IF(Table1[[#This Row],[New Engine Fuel Type or Bus Eliminated:]]="Bus Eliminated","",Table1[[#This Row],[Bus Type (A,B,C,D)]]))</f>
        <v/>
      </c>
      <c r="AA209" s="209"/>
      <c r="AB209" s="244"/>
      <c r="AC209" s="211"/>
      <c r="AD209" s="211"/>
      <c r="AE209" s="211"/>
      <c r="AF209" s="201"/>
    </row>
    <row r="210" spans="1:32" ht="12" customHeight="1">
      <c r="A210" s="62" t="str">
        <f>IF(A209&lt;Application!$D$24,A209+1,"")</f>
        <v/>
      </c>
      <c r="B210" s="245"/>
      <c r="C210" s="245"/>
      <c r="D210" s="244"/>
      <c r="E210" s="245"/>
      <c r="F210" s="213"/>
      <c r="G210" s="209"/>
      <c r="H210" s="247"/>
      <c r="I210" s="245"/>
      <c r="J210" s="245"/>
      <c r="K210" s="209"/>
      <c r="L210" s="209"/>
      <c r="M210" s="211"/>
      <c r="N210" s="209"/>
      <c r="O210" s="244"/>
      <c r="P210" s="212"/>
      <c r="Q21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0" s="213"/>
      <c r="S210" s="213"/>
      <c r="T210" s="213"/>
      <c r="U210" s="209"/>
      <c r="V210" s="213"/>
      <c r="W210" s="214"/>
      <c r="X210" s="245"/>
      <c r="Y210" s="244"/>
      <c r="Z210" s="226" t="str">
        <f>IF(Table1[[#This Row],[Bus Type (A,B,C,D)]]="","",IF(Table1[[#This Row],[New Engine Fuel Type or Bus Eliminated:]]="Bus Eliminated","",Table1[[#This Row],[Bus Type (A,B,C,D)]]))</f>
        <v/>
      </c>
      <c r="AA210" s="209"/>
      <c r="AB210" s="244"/>
      <c r="AC210" s="211"/>
      <c r="AD210" s="211"/>
      <c r="AE210" s="211"/>
      <c r="AF210" s="201"/>
    </row>
    <row r="211" spans="1:32" ht="12" customHeight="1">
      <c r="A211" s="62" t="str">
        <f>IF(A210&lt;Application!$D$24,A210+1,"")</f>
        <v/>
      </c>
      <c r="B211" s="245"/>
      <c r="C211" s="245"/>
      <c r="D211" s="244"/>
      <c r="E211" s="245"/>
      <c r="F211" s="213"/>
      <c r="G211" s="209"/>
      <c r="H211" s="247"/>
      <c r="I211" s="245"/>
      <c r="J211" s="245"/>
      <c r="K211" s="209"/>
      <c r="L211" s="209"/>
      <c r="M211" s="211"/>
      <c r="N211" s="209"/>
      <c r="O211" s="244"/>
      <c r="P211" s="212"/>
      <c r="Q21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1" s="213"/>
      <c r="S211" s="213"/>
      <c r="T211" s="213"/>
      <c r="U211" s="209"/>
      <c r="V211" s="213"/>
      <c r="W211" s="214"/>
      <c r="X211" s="245"/>
      <c r="Y211" s="244"/>
      <c r="Z211" s="226" t="str">
        <f>IF(Table1[[#This Row],[Bus Type (A,B,C,D)]]="","",IF(Table1[[#This Row],[New Engine Fuel Type or Bus Eliminated:]]="Bus Eliminated","",Table1[[#This Row],[Bus Type (A,B,C,D)]]))</f>
        <v/>
      </c>
      <c r="AA211" s="209"/>
      <c r="AB211" s="244"/>
      <c r="AC211" s="211"/>
      <c r="AD211" s="211"/>
      <c r="AE211" s="211"/>
      <c r="AF211" s="201"/>
    </row>
    <row r="212" spans="1:32" ht="12" customHeight="1">
      <c r="A212" s="62" t="str">
        <f>IF(A211&lt;Application!$D$24,A211+1,"")</f>
        <v/>
      </c>
      <c r="B212" s="245"/>
      <c r="C212" s="245"/>
      <c r="D212" s="244"/>
      <c r="E212" s="245"/>
      <c r="F212" s="213"/>
      <c r="G212" s="209"/>
      <c r="H212" s="247"/>
      <c r="I212" s="245"/>
      <c r="J212" s="245"/>
      <c r="K212" s="209"/>
      <c r="L212" s="209"/>
      <c r="M212" s="211"/>
      <c r="N212" s="209"/>
      <c r="O212" s="244"/>
      <c r="P212" s="212"/>
      <c r="Q21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2" s="213"/>
      <c r="S212" s="213"/>
      <c r="T212" s="213"/>
      <c r="U212" s="209"/>
      <c r="V212" s="213"/>
      <c r="W212" s="214"/>
      <c r="X212" s="245"/>
      <c r="Y212" s="244"/>
      <c r="Z212" s="226" t="str">
        <f>IF(Table1[[#This Row],[Bus Type (A,B,C,D)]]="","",IF(Table1[[#This Row],[New Engine Fuel Type or Bus Eliminated:]]="Bus Eliminated","",Table1[[#This Row],[Bus Type (A,B,C,D)]]))</f>
        <v/>
      </c>
      <c r="AA212" s="209"/>
      <c r="AB212" s="244"/>
      <c r="AC212" s="211"/>
      <c r="AD212" s="211"/>
      <c r="AE212" s="211"/>
      <c r="AF212" s="201"/>
    </row>
    <row r="213" spans="1:32" ht="12" customHeight="1">
      <c r="A213" s="62" t="str">
        <f>IF(A212&lt;Application!$D$24,A212+1,"")</f>
        <v/>
      </c>
      <c r="B213" s="245"/>
      <c r="C213" s="245"/>
      <c r="D213" s="244"/>
      <c r="E213" s="245"/>
      <c r="F213" s="213"/>
      <c r="G213" s="209"/>
      <c r="H213" s="247"/>
      <c r="I213" s="245"/>
      <c r="J213" s="245"/>
      <c r="K213" s="209"/>
      <c r="L213" s="209"/>
      <c r="M213" s="211"/>
      <c r="N213" s="209"/>
      <c r="O213" s="244"/>
      <c r="P213" s="212"/>
      <c r="Q21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3" s="213"/>
      <c r="S213" s="213"/>
      <c r="T213" s="213"/>
      <c r="U213" s="209"/>
      <c r="V213" s="213"/>
      <c r="W213" s="214"/>
      <c r="X213" s="245"/>
      <c r="Y213" s="244"/>
      <c r="Z213" s="226" t="str">
        <f>IF(Table1[[#This Row],[Bus Type (A,B,C,D)]]="","",IF(Table1[[#This Row],[New Engine Fuel Type or Bus Eliminated:]]="Bus Eliminated","",Table1[[#This Row],[Bus Type (A,B,C,D)]]))</f>
        <v/>
      </c>
      <c r="AA213" s="209"/>
      <c r="AB213" s="244"/>
      <c r="AC213" s="211"/>
      <c r="AD213" s="211"/>
      <c r="AE213" s="211"/>
      <c r="AF213" s="201"/>
    </row>
    <row r="214" spans="1:32" ht="12" customHeight="1">
      <c r="A214" s="62" t="str">
        <f>IF(A213&lt;Application!$D$24,A213+1,"")</f>
        <v/>
      </c>
      <c r="B214" s="245"/>
      <c r="C214" s="245"/>
      <c r="D214" s="244"/>
      <c r="E214" s="245"/>
      <c r="F214" s="213"/>
      <c r="G214" s="209"/>
      <c r="H214" s="247"/>
      <c r="I214" s="245"/>
      <c r="J214" s="245"/>
      <c r="K214" s="209"/>
      <c r="L214" s="209"/>
      <c r="M214" s="211"/>
      <c r="N214" s="209"/>
      <c r="O214" s="244"/>
      <c r="P214" s="212"/>
      <c r="Q21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4" s="213"/>
      <c r="S214" s="213"/>
      <c r="T214" s="213"/>
      <c r="U214" s="209"/>
      <c r="V214" s="213"/>
      <c r="W214" s="214"/>
      <c r="X214" s="245"/>
      <c r="Y214" s="244"/>
      <c r="Z214" s="226" t="str">
        <f>IF(Table1[[#This Row],[Bus Type (A,B,C,D)]]="","",IF(Table1[[#This Row],[New Engine Fuel Type or Bus Eliminated:]]="Bus Eliminated","",Table1[[#This Row],[Bus Type (A,B,C,D)]]))</f>
        <v/>
      </c>
      <c r="AA214" s="209"/>
      <c r="AB214" s="244"/>
      <c r="AC214" s="211"/>
      <c r="AD214" s="211"/>
      <c r="AE214" s="211"/>
      <c r="AF214" s="201"/>
    </row>
    <row r="215" spans="1:32" ht="12" customHeight="1">
      <c r="A215" s="62" t="str">
        <f>IF(A214&lt;Application!$D$24,A214+1,"")</f>
        <v/>
      </c>
      <c r="B215" s="245"/>
      <c r="C215" s="245"/>
      <c r="D215" s="244"/>
      <c r="E215" s="245"/>
      <c r="F215" s="213"/>
      <c r="G215" s="209"/>
      <c r="H215" s="247"/>
      <c r="I215" s="245"/>
      <c r="J215" s="245"/>
      <c r="K215" s="209"/>
      <c r="L215" s="209"/>
      <c r="M215" s="211"/>
      <c r="N215" s="209"/>
      <c r="O215" s="244"/>
      <c r="P215" s="212"/>
      <c r="Q21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5" s="213"/>
      <c r="S215" s="213"/>
      <c r="T215" s="213"/>
      <c r="U215" s="209"/>
      <c r="V215" s="213"/>
      <c r="W215" s="214"/>
      <c r="X215" s="245"/>
      <c r="Y215" s="244"/>
      <c r="Z215" s="226" t="str">
        <f>IF(Table1[[#This Row],[Bus Type (A,B,C,D)]]="","",IF(Table1[[#This Row],[New Engine Fuel Type or Bus Eliminated:]]="Bus Eliminated","",Table1[[#This Row],[Bus Type (A,B,C,D)]]))</f>
        <v/>
      </c>
      <c r="AA215" s="209"/>
      <c r="AB215" s="244"/>
      <c r="AC215" s="211"/>
      <c r="AD215" s="211"/>
      <c r="AE215" s="211"/>
      <c r="AF215" s="201"/>
    </row>
    <row r="216" spans="1:32" ht="12" customHeight="1">
      <c r="A216" s="62" t="str">
        <f>IF(A215&lt;Application!$D$24,A215+1,"")</f>
        <v/>
      </c>
      <c r="B216" s="245"/>
      <c r="C216" s="245"/>
      <c r="D216" s="244"/>
      <c r="E216" s="245"/>
      <c r="F216" s="213"/>
      <c r="G216" s="209"/>
      <c r="H216" s="247"/>
      <c r="I216" s="245"/>
      <c r="J216" s="245"/>
      <c r="K216" s="209"/>
      <c r="L216" s="209"/>
      <c r="M216" s="211"/>
      <c r="N216" s="209"/>
      <c r="O216" s="244"/>
      <c r="P216" s="212"/>
      <c r="Q21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6" s="213"/>
      <c r="S216" s="213"/>
      <c r="T216" s="213"/>
      <c r="U216" s="209"/>
      <c r="V216" s="213"/>
      <c r="W216" s="214"/>
      <c r="X216" s="245"/>
      <c r="Y216" s="244"/>
      <c r="Z216" s="226" t="str">
        <f>IF(Table1[[#This Row],[Bus Type (A,B,C,D)]]="","",IF(Table1[[#This Row],[New Engine Fuel Type or Bus Eliminated:]]="Bus Eliminated","",Table1[[#This Row],[Bus Type (A,B,C,D)]]))</f>
        <v/>
      </c>
      <c r="AA216" s="209"/>
      <c r="AB216" s="244"/>
      <c r="AC216" s="211"/>
      <c r="AD216" s="211"/>
      <c r="AE216" s="211"/>
      <c r="AF216" s="201"/>
    </row>
    <row r="217" spans="1:32" ht="12" customHeight="1">
      <c r="A217" s="62" t="str">
        <f>IF(A216&lt;Application!$D$24,A216+1,"")</f>
        <v/>
      </c>
      <c r="B217" s="245"/>
      <c r="C217" s="245"/>
      <c r="D217" s="244"/>
      <c r="E217" s="245"/>
      <c r="F217" s="213"/>
      <c r="G217" s="209"/>
      <c r="H217" s="247"/>
      <c r="I217" s="245"/>
      <c r="J217" s="245"/>
      <c r="K217" s="209"/>
      <c r="L217" s="209"/>
      <c r="M217" s="211"/>
      <c r="N217" s="209"/>
      <c r="O217" s="244"/>
      <c r="P217" s="212"/>
      <c r="Q21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7" s="213"/>
      <c r="S217" s="213"/>
      <c r="T217" s="213"/>
      <c r="U217" s="209"/>
      <c r="V217" s="213"/>
      <c r="W217" s="214"/>
      <c r="X217" s="245"/>
      <c r="Y217" s="244"/>
      <c r="Z217" s="226" t="str">
        <f>IF(Table1[[#This Row],[Bus Type (A,B,C,D)]]="","",IF(Table1[[#This Row],[New Engine Fuel Type or Bus Eliminated:]]="Bus Eliminated","",Table1[[#This Row],[Bus Type (A,B,C,D)]]))</f>
        <v/>
      </c>
      <c r="AA217" s="209"/>
      <c r="AB217" s="244"/>
      <c r="AC217" s="211"/>
      <c r="AD217" s="211"/>
      <c r="AE217" s="211"/>
      <c r="AF217" s="201"/>
    </row>
    <row r="218" spans="1:32" ht="12" customHeight="1">
      <c r="A218" s="62" t="str">
        <f>IF(A217&lt;Application!$D$24,A217+1,"")</f>
        <v/>
      </c>
      <c r="B218" s="245"/>
      <c r="C218" s="245"/>
      <c r="D218" s="244"/>
      <c r="E218" s="245"/>
      <c r="F218" s="213"/>
      <c r="G218" s="209"/>
      <c r="H218" s="247"/>
      <c r="I218" s="245"/>
      <c r="J218" s="245"/>
      <c r="K218" s="209"/>
      <c r="L218" s="209"/>
      <c r="M218" s="211"/>
      <c r="N218" s="209"/>
      <c r="O218" s="244"/>
      <c r="P218" s="212"/>
      <c r="Q21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8" s="213"/>
      <c r="S218" s="213"/>
      <c r="T218" s="213"/>
      <c r="U218" s="209"/>
      <c r="V218" s="213"/>
      <c r="W218" s="214"/>
      <c r="X218" s="245"/>
      <c r="Y218" s="244"/>
      <c r="Z218" s="226" t="str">
        <f>IF(Table1[[#This Row],[Bus Type (A,B,C,D)]]="","",IF(Table1[[#This Row],[New Engine Fuel Type or Bus Eliminated:]]="Bus Eliminated","",Table1[[#This Row],[Bus Type (A,B,C,D)]]))</f>
        <v/>
      </c>
      <c r="AA218" s="209"/>
      <c r="AB218" s="244"/>
      <c r="AC218" s="211"/>
      <c r="AD218" s="211"/>
      <c r="AE218" s="211"/>
      <c r="AF218" s="201"/>
    </row>
    <row r="219" spans="1:32" ht="12" customHeight="1">
      <c r="A219" s="62" t="str">
        <f>IF(A218&lt;Application!$D$24,A218+1,"")</f>
        <v/>
      </c>
      <c r="B219" s="245"/>
      <c r="C219" s="245"/>
      <c r="D219" s="244"/>
      <c r="E219" s="245"/>
      <c r="F219" s="213"/>
      <c r="G219" s="209"/>
      <c r="H219" s="247"/>
      <c r="I219" s="245"/>
      <c r="J219" s="245"/>
      <c r="K219" s="209"/>
      <c r="L219" s="209"/>
      <c r="M219" s="211"/>
      <c r="N219" s="209"/>
      <c r="O219" s="244"/>
      <c r="P219" s="212"/>
      <c r="Q21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9" s="213"/>
      <c r="S219" s="213"/>
      <c r="T219" s="213"/>
      <c r="U219" s="209"/>
      <c r="V219" s="213"/>
      <c r="W219" s="214"/>
      <c r="X219" s="245"/>
      <c r="Y219" s="244"/>
      <c r="Z219" s="226" t="str">
        <f>IF(Table1[[#This Row],[Bus Type (A,B,C,D)]]="","",IF(Table1[[#This Row],[New Engine Fuel Type or Bus Eliminated:]]="Bus Eliminated","",Table1[[#This Row],[Bus Type (A,B,C,D)]]))</f>
        <v/>
      </c>
      <c r="AA219" s="209"/>
      <c r="AB219" s="244"/>
      <c r="AC219" s="211"/>
      <c r="AD219" s="211"/>
      <c r="AE219" s="211"/>
      <c r="AF219" s="201"/>
    </row>
    <row r="220" spans="1:32" ht="12" customHeight="1">
      <c r="A220" s="62" t="str">
        <f>IF(A219&lt;Application!$D$24,A219+1,"")</f>
        <v/>
      </c>
      <c r="B220" s="245"/>
      <c r="C220" s="245"/>
      <c r="D220" s="244"/>
      <c r="E220" s="245"/>
      <c r="F220" s="213"/>
      <c r="G220" s="209"/>
      <c r="H220" s="247"/>
      <c r="I220" s="245"/>
      <c r="J220" s="245"/>
      <c r="K220" s="209"/>
      <c r="L220" s="209"/>
      <c r="M220" s="211"/>
      <c r="N220" s="209"/>
      <c r="O220" s="244"/>
      <c r="P220" s="212"/>
      <c r="Q22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0" s="213"/>
      <c r="S220" s="213"/>
      <c r="T220" s="213"/>
      <c r="U220" s="209"/>
      <c r="V220" s="213"/>
      <c r="W220" s="214"/>
      <c r="X220" s="245"/>
      <c r="Y220" s="244"/>
      <c r="Z220" s="226" t="str">
        <f>IF(Table1[[#This Row],[Bus Type (A,B,C,D)]]="","",IF(Table1[[#This Row],[New Engine Fuel Type or Bus Eliminated:]]="Bus Eliminated","",Table1[[#This Row],[Bus Type (A,B,C,D)]]))</f>
        <v/>
      </c>
      <c r="AA220" s="209"/>
      <c r="AB220" s="244"/>
      <c r="AC220" s="211"/>
      <c r="AD220" s="211"/>
      <c r="AE220" s="211"/>
      <c r="AF220" s="201"/>
    </row>
    <row r="221" spans="1:32" ht="12" customHeight="1">
      <c r="A221" s="62" t="str">
        <f>IF(A220&lt;Application!$D$24,A220+1,"")</f>
        <v/>
      </c>
      <c r="B221" s="245"/>
      <c r="C221" s="245"/>
      <c r="D221" s="244"/>
      <c r="E221" s="245"/>
      <c r="F221" s="213"/>
      <c r="G221" s="209"/>
      <c r="H221" s="247"/>
      <c r="I221" s="245"/>
      <c r="J221" s="245"/>
      <c r="K221" s="209"/>
      <c r="L221" s="209"/>
      <c r="M221" s="211"/>
      <c r="N221" s="209"/>
      <c r="O221" s="244"/>
      <c r="P221" s="212"/>
      <c r="Q22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1" s="213"/>
      <c r="S221" s="213"/>
      <c r="T221" s="213"/>
      <c r="U221" s="209"/>
      <c r="V221" s="213"/>
      <c r="W221" s="214"/>
      <c r="X221" s="245"/>
      <c r="Y221" s="244"/>
      <c r="Z221" s="226" t="str">
        <f>IF(Table1[[#This Row],[Bus Type (A,B,C,D)]]="","",IF(Table1[[#This Row],[New Engine Fuel Type or Bus Eliminated:]]="Bus Eliminated","",Table1[[#This Row],[Bus Type (A,B,C,D)]]))</f>
        <v/>
      </c>
      <c r="AA221" s="209"/>
      <c r="AB221" s="244"/>
      <c r="AC221" s="211"/>
      <c r="AD221" s="211"/>
      <c r="AE221" s="211"/>
      <c r="AF221" s="201"/>
    </row>
    <row r="222" spans="1:32" ht="12" customHeight="1">
      <c r="A222" s="62" t="str">
        <f>IF(A221&lt;Application!$D$24,A221+1,"")</f>
        <v/>
      </c>
      <c r="B222" s="245"/>
      <c r="C222" s="245"/>
      <c r="D222" s="244"/>
      <c r="E222" s="245"/>
      <c r="F222" s="213"/>
      <c r="G222" s="209"/>
      <c r="H222" s="247"/>
      <c r="I222" s="245"/>
      <c r="J222" s="245"/>
      <c r="K222" s="209"/>
      <c r="L222" s="209"/>
      <c r="M222" s="211"/>
      <c r="N222" s="209"/>
      <c r="O222" s="244"/>
      <c r="P222" s="212"/>
      <c r="Q22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2" s="213"/>
      <c r="S222" s="213"/>
      <c r="T222" s="213"/>
      <c r="U222" s="209"/>
      <c r="V222" s="213"/>
      <c r="W222" s="214"/>
      <c r="X222" s="245"/>
      <c r="Y222" s="244"/>
      <c r="Z222" s="226" t="str">
        <f>IF(Table1[[#This Row],[Bus Type (A,B,C,D)]]="","",IF(Table1[[#This Row],[New Engine Fuel Type or Bus Eliminated:]]="Bus Eliminated","",Table1[[#This Row],[Bus Type (A,B,C,D)]]))</f>
        <v/>
      </c>
      <c r="AA222" s="209"/>
      <c r="AB222" s="244"/>
      <c r="AC222" s="211"/>
      <c r="AD222" s="211"/>
      <c r="AE222" s="211"/>
      <c r="AF222" s="201"/>
    </row>
    <row r="223" spans="1:32" ht="12" customHeight="1">
      <c r="A223" s="62" t="str">
        <f>IF(A222&lt;Application!$D$24,A222+1,"")</f>
        <v/>
      </c>
      <c r="B223" s="245"/>
      <c r="C223" s="245"/>
      <c r="D223" s="244"/>
      <c r="E223" s="245"/>
      <c r="F223" s="213"/>
      <c r="G223" s="209"/>
      <c r="H223" s="247"/>
      <c r="I223" s="245"/>
      <c r="J223" s="245"/>
      <c r="K223" s="209"/>
      <c r="L223" s="209"/>
      <c r="M223" s="211"/>
      <c r="N223" s="209"/>
      <c r="O223" s="244"/>
      <c r="P223" s="212"/>
      <c r="Q22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3" s="213"/>
      <c r="S223" s="213"/>
      <c r="T223" s="213"/>
      <c r="U223" s="209"/>
      <c r="V223" s="213"/>
      <c r="W223" s="214"/>
      <c r="X223" s="245"/>
      <c r="Y223" s="244"/>
      <c r="Z223" s="226" t="str">
        <f>IF(Table1[[#This Row],[Bus Type (A,B,C,D)]]="","",IF(Table1[[#This Row],[New Engine Fuel Type or Bus Eliminated:]]="Bus Eliminated","",Table1[[#This Row],[Bus Type (A,B,C,D)]]))</f>
        <v/>
      </c>
      <c r="AA223" s="209"/>
      <c r="AB223" s="244"/>
      <c r="AC223" s="211"/>
      <c r="AD223" s="211"/>
      <c r="AE223" s="211"/>
      <c r="AF223" s="201"/>
    </row>
    <row r="224" spans="1:32" ht="12" customHeight="1">
      <c r="A224" s="62" t="str">
        <f>IF(A223&lt;Application!$D$24,A223+1,"")</f>
        <v/>
      </c>
      <c r="B224" s="245"/>
      <c r="C224" s="245"/>
      <c r="D224" s="244"/>
      <c r="E224" s="245"/>
      <c r="F224" s="213"/>
      <c r="G224" s="209"/>
      <c r="H224" s="247"/>
      <c r="I224" s="245"/>
      <c r="J224" s="245"/>
      <c r="K224" s="209"/>
      <c r="L224" s="209"/>
      <c r="M224" s="211"/>
      <c r="N224" s="209"/>
      <c r="O224" s="244"/>
      <c r="P224" s="212"/>
      <c r="Q22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4" s="213"/>
      <c r="S224" s="213"/>
      <c r="T224" s="213"/>
      <c r="U224" s="209"/>
      <c r="V224" s="213"/>
      <c r="W224" s="214"/>
      <c r="X224" s="245"/>
      <c r="Y224" s="244"/>
      <c r="Z224" s="226" t="str">
        <f>IF(Table1[[#This Row],[Bus Type (A,B,C,D)]]="","",IF(Table1[[#This Row],[New Engine Fuel Type or Bus Eliminated:]]="Bus Eliminated","",Table1[[#This Row],[Bus Type (A,B,C,D)]]))</f>
        <v/>
      </c>
      <c r="AA224" s="209"/>
      <c r="AB224" s="244"/>
      <c r="AC224" s="211"/>
      <c r="AD224" s="211"/>
      <c r="AE224" s="211"/>
      <c r="AF224" s="201"/>
    </row>
    <row r="225" spans="1:32" ht="12" customHeight="1">
      <c r="A225" s="62" t="str">
        <f>IF(A224&lt;Application!$D$24,A224+1,"")</f>
        <v/>
      </c>
      <c r="B225" s="245"/>
      <c r="C225" s="245"/>
      <c r="D225" s="244"/>
      <c r="E225" s="245"/>
      <c r="F225" s="213"/>
      <c r="G225" s="209"/>
      <c r="H225" s="247"/>
      <c r="I225" s="245"/>
      <c r="J225" s="245"/>
      <c r="K225" s="209"/>
      <c r="L225" s="209"/>
      <c r="M225" s="211"/>
      <c r="N225" s="209"/>
      <c r="O225" s="244"/>
      <c r="P225" s="212"/>
      <c r="Q22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5" s="213"/>
      <c r="S225" s="213"/>
      <c r="T225" s="213"/>
      <c r="U225" s="209"/>
      <c r="V225" s="213"/>
      <c r="W225" s="214"/>
      <c r="X225" s="245"/>
      <c r="Y225" s="244"/>
      <c r="Z225" s="226" t="str">
        <f>IF(Table1[[#This Row],[Bus Type (A,B,C,D)]]="","",IF(Table1[[#This Row],[New Engine Fuel Type or Bus Eliminated:]]="Bus Eliminated","",Table1[[#This Row],[Bus Type (A,B,C,D)]]))</f>
        <v/>
      </c>
      <c r="AA225" s="209"/>
      <c r="AB225" s="244"/>
      <c r="AC225" s="211"/>
      <c r="AD225" s="211"/>
      <c r="AE225" s="211"/>
      <c r="AF225" s="201"/>
    </row>
    <row r="226" spans="1:32" ht="12" customHeight="1">
      <c r="A226" s="62" t="str">
        <f>IF(A225&lt;Application!$D$24,A225+1,"")</f>
        <v/>
      </c>
      <c r="B226" s="245"/>
      <c r="C226" s="245"/>
      <c r="D226" s="244"/>
      <c r="E226" s="245"/>
      <c r="F226" s="213"/>
      <c r="G226" s="209"/>
      <c r="H226" s="247"/>
      <c r="I226" s="245"/>
      <c r="J226" s="245"/>
      <c r="K226" s="209"/>
      <c r="L226" s="209"/>
      <c r="M226" s="211"/>
      <c r="N226" s="209"/>
      <c r="O226" s="244"/>
      <c r="P226" s="212"/>
      <c r="Q22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6" s="213"/>
      <c r="S226" s="213"/>
      <c r="T226" s="213"/>
      <c r="U226" s="209"/>
      <c r="V226" s="213"/>
      <c r="W226" s="214"/>
      <c r="X226" s="245"/>
      <c r="Y226" s="244"/>
      <c r="Z226" s="226" t="str">
        <f>IF(Table1[[#This Row],[Bus Type (A,B,C,D)]]="","",IF(Table1[[#This Row],[New Engine Fuel Type or Bus Eliminated:]]="Bus Eliminated","",Table1[[#This Row],[Bus Type (A,B,C,D)]]))</f>
        <v/>
      </c>
      <c r="AA226" s="209"/>
      <c r="AB226" s="244"/>
      <c r="AC226" s="211"/>
      <c r="AD226" s="211"/>
      <c r="AE226" s="211"/>
      <c r="AF226" s="201"/>
    </row>
    <row r="227" spans="1:32" ht="12" customHeight="1">
      <c r="A227" s="62" t="str">
        <f>IF(A226&lt;Application!$D$24,A226+1,"")</f>
        <v/>
      </c>
      <c r="B227" s="245"/>
      <c r="C227" s="245"/>
      <c r="D227" s="244"/>
      <c r="E227" s="245"/>
      <c r="F227" s="213"/>
      <c r="G227" s="209"/>
      <c r="H227" s="247"/>
      <c r="I227" s="245"/>
      <c r="J227" s="245"/>
      <c r="K227" s="209"/>
      <c r="L227" s="209"/>
      <c r="M227" s="211"/>
      <c r="N227" s="209"/>
      <c r="O227" s="244"/>
      <c r="P227" s="212"/>
      <c r="Q22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7" s="213"/>
      <c r="S227" s="213"/>
      <c r="T227" s="213"/>
      <c r="U227" s="209"/>
      <c r="V227" s="213"/>
      <c r="W227" s="214"/>
      <c r="X227" s="245"/>
      <c r="Y227" s="244"/>
      <c r="Z227" s="226" t="str">
        <f>IF(Table1[[#This Row],[Bus Type (A,B,C,D)]]="","",IF(Table1[[#This Row],[New Engine Fuel Type or Bus Eliminated:]]="Bus Eliminated","",Table1[[#This Row],[Bus Type (A,B,C,D)]]))</f>
        <v/>
      </c>
      <c r="AA227" s="209"/>
      <c r="AB227" s="244"/>
      <c r="AC227" s="211"/>
      <c r="AD227" s="211"/>
      <c r="AE227" s="211"/>
      <c r="AF227" s="201"/>
    </row>
    <row r="228" spans="1:32" ht="13.05" hidden="1" customHeight="1">
      <c r="P228" s="198"/>
      <c r="Q228" s="203" t="str">
        <f>IFERROR(VLOOKUP("Not Eligible",Table1[Remaining Life (years)         Set Policy],1,FALSE),"")</f>
        <v/>
      </c>
      <c r="R228" s="200" t="s">
        <v>334</v>
      </c>
      <c r="S228" s="201"/>
    </row>
    <row r="229" spans="1:32" ht="17.55" hidden="1" customHeight="1">
      <c r="Q229" s="203" t="str">
        <f>IFERROR(VLOOKUP("Model Year?",Table1[Remaining Life (years)         Set Policy],1,FALSE),"")</f>
        <v>Model Year?</v>
      </c>
      <c r="R229" s="200" t="s">
        <v>335</v>
      </c>
      <c r="S229" s="201"/>
    </row>
  </sheetData>
  <sheetProtection sheet="1" objects="1" scenarios="1"/>
  <dataConsolidate/>
  <mergeCells count="1">
    <mergeCell ref="U1:AF1"/>
  </mergeCells>
  <phoneticPr fontId="8" type="noConversion"/>
  <conditionalFormatting sqref="A3:AE227">
    <cfRule type="expression" dxfId="12" priority="3">
      <formula>$A3=""</formula>
    </cfRule>
  </conditionalFormatting>
  <conditionalFormatting sqref="A43:AE43">
    <cfRule type="expression" priority="5">
      <formula>$A$43</formula>
    </cfRule>
    <cfRule type="expression" dxfId="11" priority="8">
      <formula>$A$4=""</formula>
    </cfRule>
  </conditionalFormatting>
  <conditionalFormatting sqref="B3:P227 R3:V227 F4:F227 S1 Q228:Q229 S228:T1048576">
    <cfRule type="containsText" dxfId="10" priority="4" operator="containsText" text="Not Eligible">
      <formula>NOT(ISERROR(SEARCH("Not Eligible",B1)))</formula>
    </cfRule>
  </conditionalFormatting>
  <conditionalFormatting sqref="C3:C227">
    <cfRule type="duplicateValues" dxfId="9" priority="1"/>
  </conditionalFormatting>
  <conditionalFormatting sqref="Q3:Q227">
    <cfRule type="containsText" dxfId="7" priority="9" operator="containsText" text="Not Eligible">
      <formula>NOT(ISERROR(SEARCH("Not Eligible",Q3)))</formula>
    </cfRule>
  </conditionalFormatting>
  <conditionalFormatting sqref="T3:T198">
    <cfRule type="containsText" dxfId="5" priority="27" operator="containsText" text="Not Eligible">
      <formula>NOT(ISERROR(SEARCH("Not Eligible",T3)))</formula>
    </cfRule>
  </conditionalFormatting>
  <conditionalFormatting sqref="V3:V227">
    <cfRule type="expression" dxfId="4" priority="55">
      <formula>OR($U3="LPG (Propane)",$U3="CNG",$U3="Electric")</formula>
    </cfRule>
  </conditionalFormatting>
  <conditionalFormatting sqref="V3:AE227">
    <cfRule type="expression" dxfId="3" priority="76">
      <formula>$U3="Bus Eliminated"</formula>
    </cfRule>
  </conditionalFormatting>
  <conditionalFormatting sqref="W3">
    <cfRule type="expression" dxfId="2" priority="66">
      <formula>$U3="Bus Eliminated"</formula>
    </cfRule>
  </conditionalFormatting>
  <conditionalFormatting sqref="W4:W227">
    <cfRule type="expression" dxfId="1" priority="2">
      <formula>$U4="Bus Eliminated"</formula>
    </cfRule>
  </conditionalFormatting>
  <dataValidations count="2">
    <dataValidation type="whole" operator="greaterThan" allowBlank="1" showInputMessage="1" showErrorMessage="1" error="A school bus must have 3 or more years of useful life remaining." sqref="V3:V227 R3:S227" xr:uid="{439332E5-6358-4D88-AD4F-E8D35ADCBFC0}">
      <formula1>2</formula1>
    </dataValidation>
    <dataValidation type="custom" allowBlank="1" showInputMessage="1" showErrorMessage="1" errorTitle="Duplicate / Invalid Entry!" error="This VIN has already been entered.  Each old bus listed must have a unique VIN." sqref="C1:C1048576" xr:uid="{2D6C0D15-928F-40C3-927F-9853CD8492AB}">
      <formula1>COUNTIF(C:C,C1)=1</formula1>
    </dataValidation>
  </dataValidations>
  <pageMargins left="0.7" right="0.7" top="0.75" bottom="0.75" header="0.3" footer="0.3"/>
  <pageSetup scale="41" fitToHeight="0"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64" id="{FE0D7CDB-B1C5-4C2D-94ED-D31754D5FF83}">
            <xm:f>Application!$J$25="Case-by-Case"</xm:f>
            <x14:dxf>
              <font>
                <color theme="0" tint="-0.14996795556505021"/>
              </font>
              <fill>
                <patternFill>
                  <bgColor theme="0" tint="-0.14996795556505021"/>
                </patternFill>
              </fill>
              <border>
                <top/>
                <bottom/>
              </border>
            </x14:dxf>
          </x14:cfRule>
          <xm:sqref>Q2:Q229</xm:sqref>
        </x14:conditionalFormatting>
        <x14:conditionalFormatting xmlns:xm="http://schemas.microsoft.com/office/excel/2006/main">
          <x14:cfRule type="expression" priority="65" id="{4E7E64A2-4062-4207-9A7A-0CE547E424B8}">
            <xm:f>Application!$J$25="Set Policy"</xm:f>
            <x14:dxf>
              <font>
                <color theme="0" tint="-0.14996795556505021"/>
              </font>
              <fill>
                <patternFill>
                  <bgColor theme="0" tint="-0.14996795556505021"/>
                </patternFill>
              </fill>
              <border>
                <left style="thin">
                  <color auto="1"/>
                </left>
                <right style="thin">
                  <color auto="1"/>
                </right>
                <top/>
                <bottom/>
                <vertical/>
                <horizontal/>
              </border>
            </x14:dxf>
          </x14:cfRule>
          <xm:sqref>R2:R227</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828ED254-633C-4BFD-89E0-BCF052394CFA}">
          <x14:formula1>
            <xm:f>DropDown!$A$2:$A$8</xm:f>
          </x14:formula1>
          <xm:sqref>AA3:AA227</xm:sqref>
        </x14:dataValidation>
        <x14:dataValidation type="list" allowBlank="1" showInputMessage="1" showErrorMessage="1" xr:uid="{FEC356EC-3AD9-44DA-8A85-9F52DCAF1D7F}">
          <x14:formula1>
            <xm:f>DropDown!$B$2:$B$26</xm:f>
          </x14:formula1>
          <xm:sqref>G3:G227 K3:K227</xm:sqref>
        </x14:dataValidation>
        <x14:dataValidation type="list" allowBlank="1" showInputMessage="1" xr:uid="{1A2ECD21-48C6-4423-877B-7C7269CACA75}">
          <x14:formula1>
            <xm:f>DropDown!$E$2:$E$5</xm:f>
          </x14:formula1>
          <xm:sqref>V3:V227</xm:sqref>
        </x14:dataValidation>
        <x14:dataValidation type="list" allowBlank="1" showInputMessage="1" showErrorMessage="1" xr:uid="{80657756-229E-425C-9DFF-D1677D542D89}">
          <x14:formula1>
            <xm:f>DropDown!$J$2:$J$5</xm:f>
          </x14:formula1>
          <xm:sqref>F3:F227</xm:sqref>
        </x14:dataValidation>
        <x14:dataValidation type="list" allowBlank="1" showInputMessage="1" showErrorMessage="1" errorTitle="List" error="Please Select From List" xr:uid="{40372558-A21E-4A88-A9E2-99352680BF50}">
          <x14:formula1>
            <xm:f>DropDown!$E$2:$E$6</xm:f>
          </x14:formula1>
          <xm:sqref>U3:U227</xm:sqref>
        </x14:dataValidation>
        <x14:dataValidation type="list" operator="greaterThan" allowBlank="1" showInputMessage="1" showErrorMessage="1" errorTitle="3 Years" error="A school bus must have 3 or more years of useful life remaining." xr:uid="{E237E201-1C71-4256-A9C8-6D982E429B46}">
          <x14:formula1>
            <xm:f>DropDown!$E$2:$E$6</xm:f>
          </x14:formula1>
          <xm:sqref>U3:U227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3028A-C423-44A0-96B7-653EA550C9BB}">
  <sheetPr codeName="Sheet4">
    <pageSetUpPr fitToPage="1"/>
  </sheetPr>
  <dimension ref="A1:CG230"/>
  <sheetViews>
    <sheetView topLeftCell="AE1" zoomScale="99" zoomScaleNormal="99" workbookViewId="0">
      <selection activeCell="AO6" sqref="AO6"/>
    </sheetView>
  </sheetViews>
  <sheetFormatPr defaultColWidth="8.77734375" defaultRowHeight="14.4"/>
  <cols>
    <col min="1" max="1" width="11.5546875" style="69" customWidth="1"/>
    <col min="2" max="2" width="11.33203125" style="69" customWidth="1"/>
    <col min="3" max="3" width="5.33203125" style="69" customWidth="1"/>
    <col min="4" max="4" width="4.5546875" style="69" customWidth="1"/>
    <col min="5" max="5" width="24.21875" style="69" customWidth="1"/>
    <col min="6" max="6" width="10.77734375" style="69" customWidth="1"/>
    <col min="7" max="7" width="11.5546875" style="69" customWidth="1"/>
    <col min="8" max="8" width="7.77734375" style="69" customWidth="1"/>
    <col min="9" max="9" width="8.44140625" style="69" customWidth="1"/>
    <col min="10" max="10" width="12.44140625" style="69" customWidth="1"/>
    <col min="11" max="11" width="14.21875" style="69" customWidth="1"/>
    <col min="12" max="12" width="10.33203125" style="69" customWidth="1"/>
    <col min="13" max="13" width="10.109375" style="69" customWidth="1"/>
    <col min="14" max="14" width="3.77734375" style="69" customWidth="1"/>
    <col min="15" max="15" width="20.33203125" style="69" customWidth="1"/>
    <col min="16" max="16" width="12.77734375" style="69" customWidth="1"/>
    <col min="17" max="17" width="17.5546875" style="69" customWidth="1"/>
    <col min="18" max="18" width="7.77734375" style="69" customWidth="1"/>
    <col min="19" max="19" width="17.109375" style="69" customWidth="1"/>
    <col min="20" max="20" width="14.77734375" style="69" customWidth="1"/>
    <col min="21" max="21" width="18.21875" style="69" customWidth="1"/>
    <col min="22" max="22" width="7.6640625" style="69" customWidth="1"/>
    <col min="23" max="23" width="4.77734375" style="69" customWidth="1"/>
    <col min="24" max="24" width="7.5546875" style="69" customWidth="1"/>
    <col min="25" max="25" width="10" style="69" customWidth="1"/>
    <col min="26" max="26" width="8.21875" style="69" customWidth="1"/>
    <col min="27" max="27" width="6.44140625" style="69" customWidth="1"/>
    <col min="28" max="30" width="8.77734375" style="69"/>
    <col min="31" max="31" width="12.109375" style="92" bestFit="1" customWidth="1"/>
    <col min="32" max="32" width="8.77734375" style="140"/>
    <col min="33" max="33" width="8.77734375" style="69"/>
    <col min="34" max="34" width="11.44140625" style="95" customWidth="1"/>
    <col min="35" max="35" width="8.77734375" style="69"/>
    <col min="36" max="36" width="2.5546875" style="69" customWidth="1"/>
    <col min="37" max="37" width="9" style="69" customWidth="1"/>
    <col min="38" max="38" width="22.88671875" style="69" customWidth="1"/>
    <col min="39" max="39" width="37.109375" style="118" customWidth="1"/>
    <col min="40" max="40" width="14.44140625" style="69" customWidth="1"/>
    <col min="41" max="41" width="14.33203125" style="69" customWidth="1"/>
    <col min="42" max="44" width="8.77734375" style="69"/>
    <col min="45" max="45" width="7" style="69" customWidth="1"/>
    <col min="46" max="46" width="14.21875" style="69" customWidth="1"/>
    <col min="47" max="47" width="11.88671875" style="69" customWidth="1"/>
    <col min="48" max="48" width="18.88671875" style="69" customWidth="1"/>
    <col min="49" max="49" width="16.88671875" style="69" customWidth="1"/>
    <col min="50" max="50" width="6.21875" style="69" customWidth="1"/>
    <col min="51" max="51" width="8.77734375" style="69"/>
    <col min="52" max="52" width="3.109375" style="69" customWidth="1"/>
    <col min="53" max="53" width="13.44140625" style="63" customWidth="1"/>
    <col min="54" max="54" width="11.5546875" style="63" customWidth="1"/>
    <col min="55" max="55" width="13.21875" style="63" customWidth="1"/>
    <col min="56" max="56" width="8.21875" style="64" customWidth="1"/>
    <col min="57" max="57" width="8.21875" style="68" customWidth="1"/>
    <col min="58" max="58" width="13" style="65" customWidth="1"/>
    <col min="59" max="59" width="13.33203125" style="66" customWidth="1"/>
    <col min="60" max="60" width="11.109375" style="63" customWidth="1"/>
    <col min="61" max="61" width="10.88671875" style="67" customWidth="1"/>
    <col min="62" max="63" width="8.88671875" style="69" bestFit="1" customWidth="1"/>
    <col min="64" max="64" width="16.33203125" style="69" customWidth="1"/>
    <col min="65" max="65" width="9.88671875" style="69" bestFit="1" customWidth="1"/>
    <col min="66" max="66" width="12.21875" style="69" bestFit="1" customWidth="1"/>
    <col min="67" max="67" width="9.88671875" style="69" bestFit="1" customWidth="1"/>
    <col min="68" max="68" width="8.88671875" style="64" bestFit="1" customWidth="1"/>
    <col min="69" max="69" width="8.88671875" style="69" bestFit="1" customWidth="1"/>
    <col min="70" max="70" width="13.88671875" style="69" customWidth="1"/>
    <col min="71" max="71" width="12.21875" style="69" customWidth="1"/>
    <col min="72" max="72" width="12.88671875" style="69" customWidth="1"/>
    <col min="73" max="73" width="9.88671875" style="69" bestFit="1" customWidth="1"/>
    <col min="74" max="74" width="9.44140625" style="64" customWidth="1"/>
    <col min="75" max="75" width="11" style="69" customWidth="1"/>
    <col min="76" max="76" width="12.88671875" style="69" customWidth="1"/>
    <col min="77" max="77" width="11.6640625" style="92" customWidth="1"/>
    <col min="78" max="78" width="15.109375" style="92" customWidth="1"/>
    <col min="79" max="79" width="10.44140625" style="152" bestFit="1" customWidth="1"/>
    <col min="80" max="80" width="11.77734375" style="64" customWidth="1"/>
    <col min="81" max="81" width="9.77734375" style="152" customWidth="1"/>
    <col min="82" max="82" width="10.21875" style="69" customWidth="1"/>
    <col min="83" max="83" width="12.109375" style="158" customWidth="1"/>
    <col min="84" max="84" width="9.77734375" style="70" customWidth="1"/>
    <col min="85" max="85" width="10" style="158" customWidth="1"/>
    <col min="86" max="86" width="8.21875" style="69" customWidth="1"/>
    <col min="87" max="16384" width="8.77734375" style="69"/>
  </cols>
  <sheetData>
    <row r="1" spans="1:85" s="119" customFormat="1" ht="15" thickBot="1">
      <c r="A1" s="318" t="s">
        <v>118</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K1" s="313" t="s">
        <v>119</v>
      </c>
      <c r="AL1" s="314"/>
      <c r="AM1" s="314"/>
      <c r="AN1" s="314"/>
      <c r="AO1" s="314"/>
      <c r="AP1" s="314"/>
      <c r="AQ1" s="314"/>
      <c r="AR1" s="314"/>
      <c r="AS1" s="314"/>
      <c r="AT1" s="314"/>
      <c r="AU1" s="314"/>
      <c r="AV1" s="314"/>
      <c r="AW1" s="314"/>
      <c r="AX1" s="314"/>
      <c r="AY1" s="314"/>
      <c r="BA1" s="315" t="s">
        <v>120</v>
      </c>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7"/>
    </row>
    <row r="2" spans="1:85" s="136" customFormat="1" ht="130.94999999999999" customHeight="1" thickBot="1">
      <c r="A2" s="128" t="s">
        <v>315</v>
      </c>
      <c r="B2" s="117" t="s">
        <v>314</v>
      </c>
      <c r="C2" s="117" t="s">
        <v>10</v>
      </c>
      <c r="D2" s="117" t="s">
        <v>316</v>
      </c>
      <c r="E2" s="117" t="s">
        <v>11</v>
      </c>
      <c r="F2" s="117" t="s">
        <v>12</v>
      </c>
      <c r="G2" s="117" t="s">
        <v>13</v>
      </c>
      <c r="H2" s="117" t="s">
        <v>14</v>
      </c>
      <c r="I2" s="117" t="s">
        <v>15</v>
      </c>
      <c r="J2" s="117" t="s">
        <v>16</v>
      </c>
      <c r="K2" s="117" t="s">
        <v>17</v>
      </c>
      <c r="L2" s="117" t="s">
        <v>18</v>
      </c>
      <c r="M2" s="117" t="s">
        <v>19</v>
      </c>
      <c r="N2" s="117" t="s">
        <v>20</v>
      </c>
      <c r="O2" s="117" t="s">
        <v>21</v>
      </c>
      <c r="P2" s="117" t="s">
        <v>22</v>
      </c>
      <c r="Q2" s="117" t="s">
        <v>23</v>
      </c>
      <c r="R2" s="117" t="s">
        <v>24</v>
      </c>
      <c r="S2" s="117" t="s">
        <v>25</v>
      </c>
      <c r="T2" s="117" t="s">
        <v>26</v>
      </c>
      <c r="U2" s="117" t="s">
        <v>27</v>
      </c>
      <c r="V2" s="161" t="s">
        <v>28</v>
      </c>
      <c r="W2" s="117" t="s">
        <v>29</v>
      </c>
      <c r="X2" s="117" t="s">
        <v>313</v>
      </c>
      <c r="Y2" s="117" t="s">
        <v>317</v>
      </c>
      <c r="Z2" s="117" t="s">
        <v>30</v>
      </c>
      <c r="AA2" s="117" t="s">
        <v>31</v>
      </c>
      <c r="AB2" s="161" t="s">
        <v>32</v>
      </c>
      <c r="AC2" s="161" t="s">
        <v>333</v>
      </c>
      <c r="AD2" s="117" t="s">
        <v>33</v>
      </c>
      <c r="AE2" s="163" t="s">
        <v>34</v>
      </c>
      <c r="AF2" s="138" t="s">
        <v>35</v>
      </c>
      <c r="AG2" s="117" t="s">
        <v>36</v>
      </c>
      <c r="AH2" s="161" t="s">
        <v>37</v>
      </c>
      <c r="AI2" s="117" t="s">
        <v>38</v>
      </c>
      <c r="AJ2" s="96" t="s">
        <v>67</v>
      </c>
      <c r="AK2" s="117" t="s">
        <v>39</v>
      </c>
      <c r="AL2" s="117" t="s">
        <v>40</v>
      </c>
      <c r="AM2" s="117" t="s">
        <v>310</v>
      </c>
      <c r="AN2" s="117" t="s">
        <v>312</v>
      </c>
      <c r="AO2" s="117" t="s">
        <v>41</v>
      </c>
      <c r="AP2" s="161" t="s">
        <v>42</v>
      </c>
      <c r="AQ2" s="117" t="s">
        <v>43</v>
      </c>
      <c r="AR2" s="117" t="s">
        <v>311</v>
      </c>
      <c r="AS2" s="117" t="s">
        <v>44</v>
      </c>
      <c r="AT2" s="117" t="s">
        <v>45</v>
      </c>
      <c r="AU2" s="117" t="s">
        <v>46</v>
      </c>
      <c r="AV2" s="117" t="s">
        <v>47</v>
      </c>
      <c r="AW2" s="161" t="s">
        <v>48</v>
      </c>
      <c r="AX2" s="117" t="s">
        <v>49</v>
      </c>
      <c r="AY2" s="162" t="s">
        <v>332</v>
      </c>
      <c r="AZ2" s="96" t="s">
        <v>68</v>
      </c>
      <c r="BA2" s="129" t="s">
        <v>93</v>
      </c>
      <c r="BB2" s="129" t="s">
        <v>92</v>
      </c>
      <c r="BC2" s="129" t="s">
        <v>91</v>
      </c>
      <c r="BD2" s="130" t="s">
        <v>94</v>
      </c>
      <c r="BE2" s="131" t="s">
        <v>122</v>
      </c>
      <c r="BF2" s="132" t="s">
        <v>96</v>
      </c>
      <c r="BG2" s="133" t="s">
        <v>106</v>
      </c>
      <c r="BH2" s="129" t="s">
        <v>107</v>
      </c>
      <c r="BI2" s="134" t="s">
        <v>108</v>
      </c>
      <c r="BJ2" s="117" t="s">
        <v>109</v>
      </c>
      <c r="BK2" s="117" t="s">
        <v>121</v>
      </c>
      <c r="BL2" s="117" t="s">
        <v>110</v>
      </c>
      <c r="BM2" s="117" t="s">
        <v>111</v>
      </c>
      <c r="BN2" s="117" t="s">
        <v>112</v>
      </c>
      <c r="BO2" s="117" t="s">
        <v>113</v>
      </c>
      <c r="BP2" s="130" t="s">
        <v>114</v>
      </c>
      <c r="BQ2" s="117" t="s">
        <v>126</v>
      </c>
      <c r="BR2" s="117" t="s">
        <v>95</v>
      </c>
      <c r="BS2" s="117" t="s">
        <v>101</v>
      </c>
      <c r="BT2" s="117" t="s">
        <v>105</v>
      </c>
      <c r="BU2" s="117" t="s">
        <v>104</v>
      </c>
      <c r="BV2" s="130" t="s">
        <v>103</v>
      </c>
      <c r="BW2" s="117" t="s">
        <v>125</v>
      </c>
      <c r="BX2" s="117" t="s">
        <v>102</v>
      </c>
      <c r="BY2" s="149" t="s">
        <v>115</v>
      </c>
      <c r="BZ2" s="149" t="s">
        <v>100</v>
      </c>
      <c r="CA2" s="150" t="s">
        <v>99</v>
      </c>
      <c r="CB2" s="130" t="s">
        <v>98</v>
      </c>
      <c r="CC2" s="150" t="s">
        <v>124</v>
      </c>
      <c r="CD2" s="117" t="s">
        <v>97</v>
      </c>
      <c r="CE2" s="157" t="s">
        <v>116</v>
      </c>
      <c r="CF2" s="135" t="s">
        <v>117</v>
      </c>
      <c r="CG2" s="157" t="s">
        <v>123</v>
      </c>
    </row>
    <row r="3" spans="1:85" s="61" customFormat="1" ht="15.45" customHeight="1">
      <c r="A3" s="164">
        <v>1</v>
      </c>
      <c r="B3" s="60">
        <f>IF(Table2[[#This Row],[Counter Number]]="","",Application!$D$16)</f>
        <v>0</v>
      </c>
      <c r="C3" s="60">
        <f>IF(Table2[[#This Row],[Counter Number]]="","",Application!$D$14)</f>
        <v>2024</v>
      </c>
      <c r="D3" s="60">
        <f>IF(Table2[[#This Row],[Counter Number]]="","",Table1[[#This Row],[Old Bus Number]])</f>
        <v>0</v>
      </c>
      <c r="E3" s="60">
        <f>IF(Table2[[#This Row],[Counter Number]]="","",Application!$D$15)</f>
        <v>0</v>
      </c>
      <c r="F3" s="60" t="str">
        <f>IF(Table2[[#This Row],[Counter Number]]="","","On Highway")</f>
        <v>On Highway</v>
      </c>
      <c r="G3" s="60">
        <f>IF(Table2[[#This Row],[Counter Number]]="","",I3)</f>
        <v>0</v>
      </c>
      <c r="H3" s="60" t="str">
        <f>IF(Table2[[#This Row],[Counter Number]]="","","Georgia")</f>
        <v>Georgia</v>
      </c>
      <c r="I3" s="60">
        <f>IF(Table2[[#This Row],[Counter Number]]="","",Application!$D$16)</f>
        <v>0</v>
      </c>
      <c r="J3" s="60">
        <f>IF(Table2[[#This Row],[Counter Number]]="","",Application!$D$21)</f>
        <v>0</v>
      </c>
      <c r="K3" s="60">
        <f>IF(Table2[[#This Row],[Counter Number]]="","",Application!$J$21)</f>
        <v>0</v>
      </c>
      <c r="L3" s="60" t="str">
        <f>IF(Table2[[#This Row],[Counter Number]]="","","School Bus")</f>
        <v>School Bus</v>
      </c>
      <c r="M3" s="60" t="str">
        <f>IF(Table2[[#This Row],[Counter Number]]="","","School Bus")</f>
        <v>School Bus</v>
      </c>
      <c r="N3" s="60">
        <f>IF(Table2[[#This Row],[Counter Number]]="","",1)</f>
        <v>1</v>
      </c>
      <c r="O3" s="60">
        <f>IF(Table2[[#This Row],[Counter Number]]="","",Table1[[#This Row],[Vehicle Identification Number(s):]])</f>
        <v>0</v>
      </c>
      <c r="P3" s="60">
        <f>IF(Table2[[#This Row],[Counter Number]]="","",Table1[[#This Row],[Old Bus Manufacturer:]])</f>
        <v>0</v>
      </c>
      <c r="Q3" s="60">
        <f>IF(Table2[[#This Row],[Counter Number]]="","",Table1[[#This Row],[Vehicle Model:]])</f>
        <v>0</v>
      </c>
      <c r="R3" s="165">
        <f>IF(Table2[[#This Row],[Counter Number]]="","",Table1[[#This Row],[Vehicle Model Year:]])</f>
        <v>0</v>
      </c>
      <c r="S3" s="60">
        <f>IF(Table2[[#This Row],[Counter Number]]="","",Table1[[#This Row],[Engine Serial Number(s):]])</f>
        <v>0</v>
      </c>
      <c r="T3" s="60">
        <f>IF(Table2[[#This Row],[Counter Number]]="","",Table1[[#This Row],[Engine Make:]])</f>
        <v>0</v>
      </c>
      <c r="U3" s="60">
        <f>IF(Table2[[#This Row],[Counter Number]]="","",Table1[[#This Row],[Engine Model:]])</f>
        <v>0</v>
      </c>
      <c r="V3" s="165">
        <f>IF(Table2[[#This Row],[Counter Number]]="","",Table1[[#This Row],[Engine Model Year:]])</f>
        <v>0</v>
      </c>
      <c r="W3" s="60" t="str">
        <f>IF(Table2[[#This Row],[Counter Number]]="","","NA")</f>
        <v>NA</v>
      </c>
      <c r="X3" s="165">
        <f>IF(Table2[[#This Row],[Counter Number]]="","",Table1[[#This Row],[Engine Horsepower (HP):]])</f>
        <v>0</v>
      </c>
      <c r="Y3" s="165" t="str">
        <f>IF(Table2[[#This Row],[Counter Number]]="","",Table1[[#This Row],[Engine Cylinder Displacement (L):]]&amp;" L")</f>
        <v xml:space="preserve"> L</v>
      </c>
      <c r="Z3" s="165">
        <f>IF(Table2[[#This Row],[Counter Number]]="","",Table1[[#This Row],[Engine Number of Cylinders:]])</f>
        <v>0</v>
      </c>
      <c r="AA3" s="166">
        <f>IF(Table2[[#This Row],[Counter Number]]="","",Table1[[#This Row],[Engine Family Name:]])</f>
        <v>0</v>
      </c>
      <c r="AB3" s="60" t="str">
        <f>IF(Table2[[#This Row],[Counter Number]]="","","ULSD")</f>
        <v>ULSD</v>
      </c>
      <c r="AC3" s="167" t="e">
        <f>IF(Table2[[#This Row],[Counter Number]]="","",Table2[[#This Row],[Annual Miles Traveled:]]/Table1[[#This Row],[Old Fuel (mpg)]])</f>
        <v>#DIV/0!</v>
      </c>
      <c r="AD3" s="60" t="str">
        <f>IF(Table2[[#This Row],[Counter Number]]="","","NA")</f>
        <v>NA</v>
      </c>
      <c r="AE3" s="168">
        <f>IF(Table2[[#This Row],[Counter Number]]="","",Table1[[#This Row],[Annual Miles Traveled]])</f>
        <v>0</v>
      </c>
      <c r="AF3" s="169">
        <f>IF(Table2[[#This Row],[Counter Number]]="","",Table1[[#This Row],[Annual Idling Hours:]])</f>
        <v>0</v>
      </c>
      <c r="AG3" s="60" t="str">
        <f>IF(Table2[[#This Row],[Counter Number]]="","","NA")</f>
        <v>NA</v>
      </c>
      <c r="AH3" s="165">
        <f>IF(Table2[[#This Row],[Counter Number]]="","",IF(Application!$J$25="Set Policy",Table1[[#This Row],[Remaining Life (years)         Set Policy]],Table1[[#This Row],[Remaining Life (years)               Case-by-Case]]))</f>
        <v>0</v>
      </c>
      <c r="AI3" s="165">
        <f>IF(Table2[[#This Row],[Counter Number]]="","",IF(Application!$J$25="Case-by-Case","NA",Table2[[#This Row],[Fiscal Year of EPA Funds Used:]]+Table2[[#This Row],[Remaining Life:]]))</f>
        <v>2024</v>
      </c>
      <c r="AJ3" s="165"/>
      <c r="AK3" s="170">
        <f>IF(Table2[[#This Row],[Counter Number]]="","",Application!$D$14+1)</f>
        <v>2025</v>
      </c>
      <c r="AL3" s="60" t="str">
        <f>IF(Table2[[#This Row],[Counter Number]]="","","Vehicle Replacement")</f>
        <v>Vehicle Replacement</v>
      </c>
      <c r="AM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 s="171">
        <f>IF(Table2[[#This Row],[Counter Number]]="","",Table1[[#This Row],[Cost of New Bus:]])</f>
        <v>0</v>
      </c>
      <c r="AO3" s="60" t="str">
        <f>IF(Table2[[#This Row],[Counter Number]]="","","NA")</f>
        <v>NA</v>
      </c>
      <c r="AP3" s="165">
        <f>IF(Table2[[#This Row],[Counter Number]]="","",Table1[[#This Row],[New Engine Model Year:]])</f>
        <v>0</v>
      </c>
      <c r="AQ3" s="60" t="str">
        <f>IF(Table2[[#This Row],[Counter Number]]="","","NA")</f>
        <v>NA</v>
      </c>
      <c r="AR3" s="165">
        <f>IF(Table2[[#This Row],[Counter Number]]="","",Table1[[#This Row],[New Engine Horsepower (HP):]])</f>
        <v>0</v>
      </c>
      <c r="AS3" s="60" t="str">
        <f>IF(Table2[[#This Row],[Counter Number]]="","","NA")</f>
        <v>NA</v>
      </c>
      <c r="AT3" s="165" t="str">
        <f>IF(Table2[[#This Row],[Counter Number]]="","",Table1[[#This Row],[New Engine Cylinder Displacement (L):]]&amp;" L")</f>
        <v xml:space="preserve"> L</v>
      </c>
      <c r="AU3" s="114">
        <f>IF(Table2[[#This Row],[Counter Number]]="","",Table1[[#This Row],[New Engine Number of Cylinders:]])</f>
        <v>0</v>
      </c>
      <c r="AV3" s="60">
        <f>IF(Table2[[#This Row],[Counter Number]]="","",Table1[[#This Row],[New Engine Family Name:]])</f>
        <v>0</v>
      </c>
      <c r="AW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Bus Eliminated</v>
      </c>
      <c r="AX3" s="60" t="str">
        <f>IF(Table2[[#This Row],[Counter Number]]="","","NA")</f>
        <v>NA</v>
      </c>
      <c r="AY3" s="172" t="str">
        <f>IF(Table2[[#This Row],[Counter Number]]="","",IF(Table2[[#This Row],[New Engine Fuel Type:]]="ULSD",Table1[[#This Row],[Annual Miles Traveled]]/Table1[[#This Row],[New Fuel (mpg) if Diesel]],""))</f>
        <v/>
      </c>
      <c r="AZ3" s="60"/>
      <c r="BA3" s="173" t="e">
        <f>IF(Table2[[#This Row],[Counter Number]]="","",Table2[[#This Row],[Annual Miles Traveled:]]*VLOOKUP(Table2[[#This Row],[Engine Model Year:]],EFTable[],3,FALSE))</f>
        <v>#N/A</v>
      </c>
      <c r="BB3" s="173">
        <f>IF(Table2[[#This Row],[Counter Number]]="","",Table2[[#This Row],[Annual Miles Traveled:]]*IF(Table2[[#This Row],[New Engine Fuel Type:]]="ULSD",VLOOKUP(Table2[[#This Row],[New Engine Model Year:]],EFTable[],3,FALSE),VLOOKUP(Table2[[#This Row],[New Engine Fuel Type:]],EFTable[],3,FALSE)))</f>
        <v>0</v>
      </c>
      <c r="BC3" s="173" t="e">
        <f>IF(Table2[[#This Row],[Counter Number]]="","",Table2[[#This Row],[Old Bus NOx Emissions (tons/yr)]]-Table2[[#This Row],[New Bus NOx Emissions (tons/yr)]])</f>
        <v>#N/A</v>
      </c>
      <c r="BD3" s="174" t="e">
        <f>IF(Table2[[#This Row],[Counter Number]]="","",Table2[[#This Row],[Reduction Bus NOx Emissions (tons/yr)]]/Table2[[#This Row],[Old Bus NOx Emissions (tons/yr)]])</f>
        <v>#N/A</v>
      </c>
      <c r="BE3" s="175" t="e">
        <f>IF(Table2[[#This Row],[Counter Number]]="","",Table2[[#This Row],[Reduction Bus NOx Emissions (tons/yr)]]*Table2[[#This Row],[Remaining Life:]])</f>
        <v>#N/A</v>
      </c>
      <c r="BF3" s="176" t="e">
        <f>IF(Table2[[#This Row],[Counter Number]]="","",IF(Table2[[#This Row],[Lifetime NOx Reduction (tons)]]=0,"NA",Table2[[#This Row],[Upgrade Cost Per Unit]]/Table2[[#This Row],[Lifetime NOx Reduction (tons)]]))</f>
        <v>#N/A</v>
      </c>
      <c r="BG3" s="177" t="e">
        <f>IF(Table2[[#This Row],[Counter Number]]="","",Table2[[#This Row],[Annual Miles Traveled:]]*VLOOKUP(Table2[[#This Row],[Engine Model Year:]],EF!$A$2:$G$40,4,FALSE))</f>
        <v>#N/A</v>
      </c>
      <c r="BH3" s="173">
        <f>IF(Table2[[#This Row],[Counter Number]]="","",Table2[[#This Row],[Annual Miles Traveled:]]*IF(Table2[[#This Row],[New Engine Fuel Type:]]="ULSD",VLOOKUP(Table2[[#This Row],[New Engine Model Year:]],EFTable[],4,FALSE),VLOOKUP(Table2[[#This Row],[New Engine Fuel Type:]],EFTable[],4,FALSE)))</f>
        <v>0</v>
      </c>
      <c r="BI3" s="178" t="e">
        <f>IF(Table2[[#This Row],[Counter Number]]="","",Table2[[#This Row],[Old Bus PM2.5 Emissions (tons/yr)]]-Table2[[#This Row],[New Bus PM2.5 Emissions (tons/yr)]])</f>
        <v>#N/A</v>
      </c>
      <c r="BJ3" s="174" t="e">
        <f>IF(Table2[[#This Row],[Counter Number]]="","",Table2[[#This Row],[Reduction Bus PM2.5 Emissions (tons/yr)]]/Table2[[#This Row],[Old Bus PM2.5 Emissions (tons/yr)]])</f>
        <v>#N/A</v>
      </c>
      <c r="BK3" s="175" t="e">
        <f>IF(Table2[[#This Row],[Counter Number]]="","",Table2[[#This Row],[Reduction Bus PM2.5 Emissions (tons/yr)]]*Table2[[#This Row],[Remaining Life:]])</f>
        <v>#N/A</v>
      </c>
      <c r="BL3" s="176" t="e">
        <f>IF(Table2[[#This Row],[Counter Number]]="","",IF(Table2[[#This Row],[Lifetime PM2.5 Reduction (tons)]]=0,"NA",Table2[[#This Row],[Upgrade Cost Per Unit]]/Table2[[#This Row],[Lifetime PM2.5 Reduction (tons)]]))</f>
        <v>#N/A</v>
      </c>
      <c r="BM3" s="179" t="e">
        <f>IF(Table2[[#This Row],[Counter Number]]="","",Table2[[#This Row],[Annual Miles Traveled:]]*VLOOKUP(Table2[[#This Row],[Engine Model Year:]],EF!$A$2:$G$40,5,FALSE))</f>
        <v>#N/A</v>
      </c>
      <c r="BN3" s="173">
        <f>IF(Table2[[#This Row],[Counter Number]]="","",Table2[[#This Row],[Annual Miles Traveled:]]*IF(Table2[[#This Row],[New Engine Fuel Type:]]="ULSD",VLOOKUP(Table2[[#This Row],[New Engine Model Year:]],EFTable[],5,FALSE),VLOOKUP(Table2[[#This Row],[New Engine Fuel Type:]],EFTable[],5,FALSE)))</f>
        <v>0</v>
      </c>
      <c r="BO3" s="177" t="e">
        <f>IF(Table2[[#This Row],[Counter Number]]="","",Table2[[#This Row],[Old Bus HC Emissions (tons/yr)]]-Table2[[#This Row],[New Bus HC Emissions (tons/yr)]])</f>
        <v>#N/A</v>
      </c>
      <c r="BP3" s="174" t="e">
        <f>IF(Table2[[#This Row],[Counter Number]]="","",Table2[[#This Row],[Reduction Bus HC Emissions (tons/yr)]]/Table2[[#This Row],[Old Bus HC Emissions (tons/yr)]])</f>
        <v>#N/A</v>
      </c>
      <c r="BQ3" s="175" t="e">
        <f>IF(Table2[[#This Row],[Counter Number]]="","",Table2[[#This Row],[Reduction Bus HC Emissions (tons/yr)]]*Table2[[#This Row],[Remaining Life:]])</f>
        <v>#N/A</v>
      </c>
      <c r="BR3" s="176" t="e">
        <f>IF(Table2[[#This Row],[Counter Number]]="","",IF(Table2[[#This Row],[Lifetime HC Reduction (tons)]]=0,"NA",Table2[[#This Row],[Upgrade Cost Per Unit]]/Table2[[#This Row],[Lifetime HC Reduction (tons)]]))</f>
        <v>#N/A</v>
      </c>
      <c r="BS3" s="178" t="e">
        <f>IF(Table2[[#This Row],[Counter Number]]="","",Table2[[#This Row],[Annual Miles Traveled:]]*VLOOKUP(Table2[[#This Row],[Engine Model Year:]],EF!$A$2:$G$27,6,FALSE))</f>
        <v>#N/A</v>
      </c>
      <c r="BT3" s="173">
        <f>IF(Table2[[#This Row],[Counter Number]]="","",Table2[[#This Row],[Annual Miles Traveled:]]*IF(Table2[[#This Row],[New Engine Fuel Type:]]="ULSD",VLOOKUP(Table2[[#This Row],[New Engine Model Year:]],EFTable[],6,FALSE),VLOOKUP(Table2[[#This Row],[New Engine Fuel Type:]],EFTable[],6,FALSE)))</f>
        <v>0</v>
      </c>
      <c r="BU3" s="177" t="e">
        <f>IF(Table2[[#This Row],[Counter Number]]="","",Table2[[#This Row],[Old Bus CO Emissions (tons/yr)]]-Table2[[#This Row],[New Bus CO Emissions (tons/yr)]])</f>
        <v>#N/A</v>
      </c>
      <c r="BV3" s="174" t="e">
        <f>IF(Table2[[#This Row],[Counter Number]]="","",Table2[[#This Row],[Reduction Bus CO Emissions (tons/yr)]]/Table2[[#This Row],[Old Bus CO Emissions (tons/yr)]])</f>
        <v>#N/A</v>
      </c>
      <c r="BW3" s="175" t="e">
        <f>IF(Table2[[#This Row],[Counter Number]]="","",Table2[[#This Row],[Reduction Bus CO Emissions (tons/yr)]]*Table2[[#This Row],[Remaining Life:]])</f>
        <v>#N/A</v>
      </c>
      <c r="BX3" s="176" t="e">
        <f>IF(Table2[[#This Row],[Counter Number]]="","",IF(Table2[[#This Row],[Lifetime CO Reduction (tons)]]=0,"NA",Table2[[#This Row],[Upgrade Cost Per Unit]]/Table2[[#This Row],[Lifetime CO Reduction (tons)]]))</f>
        <v>#N/A</v>
      </c>
      <c r="BY3" s="180" t="e">
        <f>IF(Table2[[#This Row],[Counter Number]]="","",Table2[[#This Row],[Old ULSD Used (gal):]]*VLOOKUP(Table2[[#This Row],[Engine Model Year:]],EF!$A$2:$G$27,7,FALSE))</f>
        <v>#DIV/0!</v>
      </c>
      <c r="BZ3" s="180">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0</v>
      </c>
      <c r="CA3" s="181" t="e">
        <f>IF(Table2[[#This Row],[Counter Number]]="","",Table2[[#This Row],[Old Bus CO2 Emissions (tons/yr)]]-Table2[[#This Row],[New Bus CO2 Emissions (tons/yr)]])</f>
        <v>#DIV/0!</v>
      </c>
      <c r="CB3" s="174" t="e">
        <f>IF(Table2[[#This Row],[Counter Number]]="","",Table2[[#This Row],[Reduction Bus CO2 Emissions (tons/yr)]]/Table2[[#This Row],[Old Bus CO2 Emissions (tons/yr)]])</f>
        <v>#DIV/0!</v>
      </c>
      <c r="CC3" s="181" t="e">
        <f>IF(Table2[[#This Row],[Counter Number]]="","",Table2[[#This Row],[Reduction Bus CO2 Emissions (tons/yr)]]*Table2[[#This Row],[Remaining Life:]])</f>
        <v>#DIV/0!</v>
      </c>
      <c r="CD3" s="176" t="e">
        <f>IF(Table2[[#This Row],[Counter Number]]="","",IF(Table2[[#This Row],[Lifetime CO2 Reduction (tons)]]=0,"NA",Table2[[#This Row],[Upgrade Cost Per Unit]]/Table2[[#This Row],[Lifetime CO2 Reduction (tons)]]))</f>
        <v>#DIV/0!</v>
      </c>
      <c r="CE3" s="182" t="e">
        <f>IF(Table2[[#This Row],[Counter Number]]="","",IF(Table2[[#This Row],[New ULSD Used (gal):]]="",Table2[[#This Row],[Old ULSD Used (gal):]],Table2[[#This Row],[Old ULSD Used (gal):]]-Table2[[#This Row],[New ULSD Used (gal):]]))</f>
        <v>#DIV/0!</v>
      </c>
      <c r="CF3" s="183" t="e">
        <f>IF(Table2[[#This Row],[Counter Number]]="","",Table2[[#This Row],[Diesel Fuel Reduction (gal/yr)]]/Table2[[#This Row],[Old ULSD Used (gal):]])</f>
        <v>#DIV/0!</v>
      </c>
      <c r="CG3" s="182" t="e">
        <f>IF(Table2[[#This Row],[Counter Number]]="","",Table2[[#This Row],[Diesel Fuel Reduction (gal/yr)]]*Table2[[#This Row],[Remaining Life:]])</f>
        <v>#DIV/0!</v>
      </c>
    </row>
    <row r="4" spans="1:85" s="61" customFormat="1" ht="15.45" customHeight="1">
      <c r="A4" s="184" t="str">
        <f>IF(A3&lt;Application!$D$24,A3+1,"")</f>
        <v/>
      </c>
      <c r="B4" s="60" t="str">
        <f>IF(Table2[[#This Row],[Counter Number]]="","",Application!$D$16)</f>
        <v/>
      </c>
      <c r="C4" s="60" t="str">
        <f>IF(Table2[[#This Row],[Counter Number]]="","",Application!$D$14)</f>
        <v/>
      </c>
      <c r="D4" s="60" t="str">
        <f>IF(Table2[[#This Row],[Counter Number]]="","",Table1[[#This Row],[Old Bus Number]])</f>
        <v/>
      </c>
      <c r="E4" s="60" t="str">
        <f>IF(Table2[[#This Row],[Counter Number]]="","",Application!$D$15)</f>
        <v/>
      </c>
      <c r="F4" s="60" t="str">
        <f>IF(Table2[[#This Row],[Counter Number]]="","","On Highway")</f>
        <v/>
      </c>
      <c r="G4" s="60" t="str">
        <f>IF(Table2[[#This Row],[Counter Number]]="","",I4)</f>
        <v/>
      </c>
      <c r="H4" s="60" t="str">
        <f>IF(Table2[[#This Row],[Counter Number]]="","","Georgia")</f>
        <v/>
      </c>
      <c r="I4" s="60" t="str">
        <f>IF(Table2[[#This Row],[Counter Number]]="","",Application!$D$16)</f>
        <v/>
      </c>
      <c r="J4" s="60" t="str">
        <f>IF(Table2[[#This Row],[Counter Number]]="","",Application!$D$21)</f>
        <v/>
      </c>
      <c r="K4" s="60" t="str">
        <f>IF(Table2[[#This Row],[Counter Number]]="","",Application!$J$21)</f>
        <v/>
      </c>
      <c r="L4" s="60" t="str">
        <f>IF(Table2[[#This Row],[Counter Number]]="","","School Bus")</f>
        <v/>
      </c>
      <c r="M4" s="60" t="str">
        <f>IF(Table2[[#This Row],[Counter Number]]="","","School Bus")</f>
        <v/>
      </c>
      <c r="N4" s="60" t="str">
        <f>IF(Table2[[#This Row],[Counter Number]]="","",1)</f>
        <v/>
      </c>
      <c r="O4" s="60" t="str">
        <f>IF(Table2[[#This Row],[Counter Number]]="","",Table1[[#This Row],[Vehicle Identification Number(s):]])</f>
        <v/>
      </c>
      <c r="P4" s="60" t="str">
        <f>IF(Table2[[#This Row],[Counter Number]]="","",Table1[[#This Row],[Old Bus Manufacturer:]])</f>
        <v/>
      </c>
      <c r="Q4" s="60" t="str">
        <f>IF(Table2[[#This Row],[Counter Number]]="","",Table1[[#This Row],[Vehicle Model:]])</f>
        <v/>
      </c>
      <c r="R4" s="165" t="str">
        <f>IF(Table2[[#This Row],[Counter Number]]="","",Table1[[#This Row],[Vehicle Model Year:]])</f>
        <v/>
      </c>
      <c r="S4" s="60" t="str">
        <f>IF(Table2[[#This Row],[Counter Number]]="","",Table1[[#This Row],[Engine Serial Number(s):]])</f>
        <v/>
      </c>
      <c r="T4" s="60" t="str">
        <f>IF(Table2[[#This Row],[Counter Number]]="","",Table1[[#This Row],[Engine Make:]])</f>
        <v/>
      </c>
      <c r="U4" s="60" t="str">
        <f>IF(Table2[[#This Row],[Counter Number]]="","",Table1[[#This Row],[Engine Model:]])</f>
        <v/>
      </c>
      <c r="V4" s="165" t="str">
        <f>IF(Table2[[#This Row],[Counter Number]]="","",Table1[[#This Row],[Engine Model Year:]])</f>
        <v/>
      </c>
      <c r="W4" s="60" t="str">
        <f>IF(Table2[[#This Row],[Counter Number]]="","","NA")</f>
        <v/>
      </c>
      <c r="X4" s="165" t="str">
        <f>IF(Table2[[#This Row],[Counter Number]]="","",Table1[[#This Row],[Engine Horsepower (HP):]])</f>
        <v/>
      </c>
      <c r="Y4" s="165" t="str">
        <f>IF(Table2[[#This Row],[Counter Number]]="","",Table1[[#This Row],[Engine Cylinder Displacement (L):]]&amp;" L")</f>
        <v/>
      </c>
      <c r="Z4" s="165" t="str">
        <f>IF(Table2[[#This Row],[Counter Number]]="","",Table1[[#This Row],[Engine Number of Cylinders:]])</f>
        <v/>
      </c>
      <c r="AA4" s="166" t="str">
        <f>IF(Table2[[#This Row],[Counter Number]]="","",Table1[[#This Row],[Engine Family Name:]])</f>
        <v/>
      </c>
      <c r="AB4" s="60" t="str">
        <f>IF(Table2[[#This Row],[Counter Number]]="","","ULSD")</f>
        <v/>
      </c>
      <c r="AC4" s="167" t="str">
        <f>IF(Table2[[#This Row],[Counter Number]]="","",Table2[[#This Row],[Annual Miles Traveled:]]/Table1[[#This Row],[Old Fuel (mpg)]])</f>
        <v/>
      </c>
      <c r="AD4" s="60" t="str">
        <f>IF(Table2[[#This Row],[Counter Number]]="","","NA")</f>
        <v/>
      </c>
      <c r="AE4" s="168" t="str">
        <f>IF(Table2[[#This Row],[Counter Number]]="","",Table1[[#This Row],[Annual Miles Traveled]])</f>
        <v/>
      </c>
      <c r="AF4" s="169" t="str">
        <f>IF(Table2[[#This Row],[Counter Number]]="","",Table1[[#This Row],[Annual Idling Hours:]])</f>
        <v/>
      </c>
      <c r="AG4" s="60" t="str">
        <f>IF(Table2[[#This Row],[Counter Number]]="","","NA")</f>
        <v/>
      </c>
      <c r="AH4" s="165" t="str">
        <f>IF(Table2[[#This Row],[Counter Number]]="","",IF(Application!$J$25="Set Policy",Table1[[#This Row],[Remaining Life (years)         Set Policy]],Table1[[#This Row],[Remaining Life (years)               Case-by-Case]]))</f>
        <v/>
      </c>
      <c r="AI4" s="165" t="str">
        <f>IF(Table2[[#This Row],[Counter Number]]="","",IF(Application!$J$25="Case-by-Case","NA",Table2[[#This Row],[Fiscal Year of EPA Funds Used:]]+Table2[[#This Row],[Remaining Life:]]))</f>
        <v/>
      </c>
      <c r="AJ4" s="165"/>
      <c r="AK4" s="170" t="str">
        <f>IF(Table2[[#This Row],[Counter Number]]="","",Application!$D$14+1)</f>
        <v/>
      </c>
      <c r="AL4" s="60" t="str">
        <f>IF(Table2[[#This Row],[Counter Number]]="","","Vehicle Replacement")</f>
        <v/>
      </c>
      <c r="AM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 s="171" t="str">
        <f>IF(Table2[[#This Row],[Counter Number]]="","",Table1[[#This Row],[Cost of New Bus:]])</f>
        <v/>
      </c>
      <c r="AO4" s="60" t="str">
        <f>IF(Table2[[#This Row],[Counter Number]]="","","NA")</f>
        <v/>
      </c>
      <c r="AP4" s="165" t="str">
        <f>IF(Table2[[#This Row],[Counter Number]]="","",Table1[[#This Row],[New Engine Model Year:]])</f>
        <v/>
      </c>
      <c r="AQ4" s="60" t="str">
        <f>IF(Table2[[#This Row],[Counter Number]]="","","NA")</f>
        <v/>
      </c>
      <c r="AR4" s="165" t="str">
        <f>IF(Table2[[#This Row],[Counter Number]]="","",Table1[[#This Row],[New Engine Horsepower (HP):]])</f>
        <v/>
      </c>
      <c r="AS4" s="60" t="str">
        <f>IF(Table2[[#This Row],[Counter Number]]="","","NA")</f>
        <v/>
      </c>
      <c r="AT4" s="165" t="str">
        <f>IF(Table2[[#This Row],[Counter Number]]="","",Table1[[#This Row],[New Engine Cylinder Displacement (L):]]&amp;" L")</f>
        <v/>
      </c>
      <c r="AU4" s="114" t="str">
        <f>IF(Table2[[#This Row],[Counter Number]]="","",Table1[[#This Row],[New Engine Number of Cylinders:]])</f>
        <v/>
      </c>
      <c r="AV4" s="60" t="str">
        <f>IF(Table2[[#This Row],[Counter Number]]="","",Table1[[#This Row],[New Engine Family Name:]])</f>
        <v/>
      </c>
      <c r="AW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 s="60" t="str">
        <f>IF(Table2[[#This Row],[Counter Number]]="","","NA")</f>
        <v/>
      </c>
      <c r="AY4" s="172" t="str">
        <f>IF(Table2[[#This Row],[Counter Number]]="","",IF(Table2[[#This Row],[New Engine Fuel Type:]]="ULSD",Table1[[#This Row],[Annual Miles Traveled]]/Table1[[#This Row],[New Fuel (mpg) if Diesel]],""))</f>
        <v/>
      </c>
      <c r="AZ4" s="60"/>
      <c r="BA4" s="173" t="str">
        <f>IF(Table2[[#This Row],[Counter Number]]="","",Table2[[#This Row],[Annual Miles Traveled:]]*VLOOKUP(Table2[[#This Row],[Engine Model Year:]],EFTable[],3,FALSE))</f>
        <v/>
      </c>
      <c r="BB4" s="173" t="str">
        <f>IF(Table2[[#This Row],[Counter Number]]="","",Table2[[#This Row],[Annual Miles Traveled:]]*IF(Table2[[#This Row],[New Engine Fuel Type:]]="ULSD",VLOOKUP(Table2[[#This Row],[New Engine Model Year:]],EFTable[],3,FALSE),VLOOKUP(Table2[[#This Row],[New Engine Fuel Type:]],EFTable[],3,FALSE)))</f>
        <v/>
      </c>
      <c r="BC4" s="173" t="str">
        <f>IF(Table2[[#This Row],[Counter Number]]="","",Table2[[#This Row],[Old Bus NOx Emissions (tons/yr)]]-Table2[[#This Row],[New Bus NOx Emissions (tons/yr)]])</f>
        <v/>
      </c>
      <c r="BD4" s="174" t="str">
        <f>IF(Table2[[#This Row],[Counter Number]]="","",Table2[[#This Row],[Reduction Bus NOx Emissions (tons/yr)]]/Table2[[#This Row],[Old Bus NOx Emissions (tons/yr)]])</f>
        <v/>
      </c>
      <c r="BE4" s="175" t="str">
        <f>IF(Table2[[#This Row],[Counter Number]]="","",Table2[[#This Row],[Reduction Bus NOx Emissions (tons/yr)]]*Table2[[#This Row],[Remaining Life:]])</f>
        <v/>
      </c>
      <c r="BF4" s="176" t="str">
        <f>IF(Table2[[#This Row],[Counter Number]]="","",IF(Table2[[#This Row],[Lifetime NOx Reduction (tons)]]=0,"NA",Table2[[#This Row],[Upgrade Cost Per Unit]]/Table2[[#This Row],[Lifetime NOx Reduction (tons)]]))</f>
        <v/>
      </c>
      <c r="BG4" s="177" t="str">
        <f>IF(Table2[[#This Row],[Counter Number]]="","",Table2[[#This Row],[Annual Miles Traveled:]]*VLOOKUP(Table2[[#This Row],[Engine Model Year:]],EF!$A$2:$G$27,4,FALSE))</f>
        <v/>
      </c>
      <c r="BH4" s="173" t="str">
        <f>IF(Table2[[#This Row],[Counter Number]]="","",Table2[[#This Row],[Annual Miles Traveled:]]*IF(Table2[[#This Row],[New Engine Fuel Type:]]="ULSD",VLOOKUP(Table2[[#This Row],[New Engine Model Year:]],EFTable[],4,FALSE),VLOOKUP(Table2[[#This Row],[New Engine Fuel Type:]],EFTable[],4,FALSE)))</f>
        <v/>
      </c>
      <c r="BI4" s="178" t="str">
        <f>IF(Table2[[#This Row],[Counter Number]]="","",Table2[[#This Row],[Old Bus PM2.5 Emissions (tons/yr)]]-Table2[[#This Row],[New Bus PM2.5 Emissions (tons/yr)]])</f>
        <v/>
      </c>
      <c r="BJ4" s="185" t="str">
        <f>IF(Table2[[#This Row],[Counter Number]]="","",Table2[[#This Row],[Reduction Bus PM2.5 Emissions (tons/yr)]]/Table2[[#This Row],[Old Bus PM2.5 Emissions (tons/yr)]])</f>
        <v/>
      </c>
      <c r="BK4" s="175" t="str">
        <f>IF(Table2[[#This Row],[Counter Number]]="","",Table2[[#This Row],[Reduction Bus PM2.5 Emissions (tons/yr)]]*Table2[[#This Row],[Remaining Life:]])</f>
        <v/>
      </c>
      <c r="BL4" s="186" t="str">
        <f>IF(Table2[[#This Row],[Counter Number]]="","",IF(Table2[[#This Row],[Lifetime PM2.5 Reduction (tons)]]=0,"NA",Table2[[#This Row],[Upgrade Cost Per Unit]]/Table2[[#This Row],[Lifetime PM2.5 Reduction (tons)]]))</f>
        <v/>
      </c>
      <c r="BM4" s="179" t="str">
        <f>IF(Table2[[#This Row],[Counter Number]]="","",Table2[[#This Row],[Annual Miles Traveled:]]*VLOOKUP(Table2[[#This Row],[Engine Model Year:]],EF!$A$2:$G$40,5,FALSE))</f>
        <v/>
      </c>
      <c r="BN4" s="173" t="str">
        <f>IF(Table2[[#This Row],[Counter Number]]="","",Table2[[#This Row],[Annual Miles Traveled:]]*IF(Table2[[#This Row],[New Engine Fuel Type:]]="ULSD",VLOOKUP(Table2[[#This Row],[New Engine Model Year:]],EFTable[],5,FALSE),VLOOKUP(Table2[[#This Row],[New Engine Fuel Type:]],EFTable[],5,FALSE)))</f>
        <v/>
      </c>
      <c r="BO4" s="177" t="str">
        <f>IF(Table2[[#This Row],[Counter Number]]="","",Table2[[#This Row],[Old Bus HC Emissions (tons/yr)]]-Table2[[#This Row],[New Bus HC Emissions (tons/yr)]])</f>
        <v/>
      </c>
      <c r="BP4" s="174" t="str">
        <f>IF(Table2[[#This Row],[Counter Number]]="","",Table2[[#This Row],[Reduction Bus HC Emissions (tons/yr)]]/Table2[[#This Row],[Old Bus HC Emissions (tons/yr)]])</f>
        <v/>
      </c>
      <c r="BQ4" s="175" t="str">
        <f>IF(Table2[[#This Row],[Counter Number]]="","",Table2[[#This Row],[Reduction Bus HC Emissions (tons/yr)]]*Table2[[#This Row],[Remaining Life:]])</f>
        <v/>
      </c>
      <c r="BR4" s="186" t="str">
        <f>IF(Table2[[#This Row],[Counter Number]]="","",IF(Table2[[#This Row],[Lifetime HC Reduction (tons)]]=0,"NA",Table2[[#This Row],[Upgrade Cost Per Unit]]/Table2[[#This Row],[Lifetime HC Reduction (tons)]]))</f>
        <v/>
      </c>
      <c r="BS4" s="178" t="str">
        <f>IF(Table2[[#This Row],[Counter Number]]="","",Table2[[#This Row],[Annual Miles Traveled:]]*VLOOKUP(Table2[[#This Row],[Engine Model Year:]],EF!$A$2:$G$27,6,FALSE))</f>
        <v/>
      </c>
      <c r="BT4" s="173" t="str">
        <f>IF(Table2[[#This Row],[Counter Number]]="","",Table2[[#This Row],[Annual Miles Traveled:]]*IF(Table2[[#This Row],[New Engine Fuel Type:]]="ULSD",VLOOKUP(Table2[[#This Row],[New Engine Model Year:]],EFTable[],6,FALSE),VLOOKUP(Table2[[#This Row],[New Engine Fuel Type:]],EFTable[],6,FALSE)))</f>
        <v/>
      </c>
      <c r="BU4" s="177" t="str">
        <f>IF(Table2[[#This Row],[Counter Number]]="","",Table2[[#This Row],[Old Bus CO Emissions (tons/yr)]]-Table2[[#This Row],[New Bus CO Emissions (tons/yr)]])</f>
        <v/>
      </c>
      <c r="BV4" s="174" t="str">
        <f>IF(Table2[[#This Row],[Counter Number]]="","",Table2[[#This Row],[Reduction Bus CO Emissions (tons/yr)]]/Table2[[#This Row],[Old Bus CO Emissions (tons/yr)]])</f>
        <v/>
      </c>
      <c r="BW4" s="175" t="str">
        <f>IF(Table2[[#This Row],[Counter Number]]="","",Table2[[#This Row],[Reduction Bus CO Emissions (tons/yr)]]*Table2[[#This Row],[Remaining Life:]])</f>
        <v/>
      </c>
      <c r="BX4" s="186" t="str">
        <f>IF(Table2[[#This Row],[Counter Number]]="","",IF(Table2[[#This Row],[Lifetime CO Reduction (tons)]]=0,"NA",Table2[[#This Row],[Upgrade Cost Per Unit]]/Table2[[#This Row],[Lifetime CO Reduction (tons)]]))</f>
        <v/>
      </c>
      <c r="BY4" s="180" t="str">
        <f>IF(Table2[[#This Row],[Counter Number]]="","",Table2[[#This Row],[Old ULSD Used (gal):]]*VLOOKUP(Table2[[#This Row],[Engine Model Year:]],EF!$A$2:$G$27,7,FALSE))</f>
        <v/>
      </c>
      <c r="BZ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 s="181" t="str">
        <f>IF(Table2[[#This Row],[Counter Number]]="","",Table2[[#This Row],[Old Bus CO2 Emissions (tons/yr)]]-Table2[[#This Row],[New Bus CO2 Emissions (tons/yr)]])</f>
        <v/>
      </c>
      <c r="CB4" s="174" t="str">
        <f>IF(Table2[[#This Row],[Counter Number]]="","",Table2[[#This Row],[Reduction Bus CO2 Emissions (tons/yr)]]/Table2[[#This Row],[Old Bus CO2 Emissions (tons/yr)]])</f>
        <v/>
      </c>
      <c r="CC4" s="181" t="str">
        <f>IF(Table2[[#This Row],[Counter Number]]="","",Table2[[#This Row],[Reduction Bus CO2 Emissions (tons/yr)]]*Table2[[#This Row],[Remaining Life:]])</f>
        <v/>
      </c>
      <c r="CD4" s="186" t="str">
        <f>IF(Table2[[#This Row],[Counter Number]]="","",IF(Table2[[#This Row],[Lifetime CO2 Reduction (tons)]]=0,"NA",Table2[[#This Row],[Upgrade Cost Per Unit]]/Table2[[#This Row],[Lifetime CO2 Reduction (tons)]]))</f>
        <v/>
      </c>
      <c r="CE4" s="182" t="str">
        <f>IF(Table2[[#This Row],[Counter Number]]="","",IF(Table2[[#This Row],[New ULSD Used (gal):]]="",Table2[[#This Row],[Old ULSD Used (gal):]],Table2[[#This Row],[Old ULSD Used (gal):]]-Table2[[#This Row],[New ULSD Used (gal):]]))</f>
        <v/>
      </c>
      <c r="CF4" s="183" t="str">
        <f>IF(Table2[[#This Row],[Counter Number]]="","",Table2[[#This Row],[Diesel Fuel Reduction (gal/yr)]]/Table2[[#This Row],[Old ULSD Used (gal):]])</f>
        <v/>
      </c>
      <c r="CG4" s="182" t="str">
        <f>IF(Table2[[#This Row],[Counter Number]]="","",Table2[[#This Row],[Diesel Fuel Reduction (gal/yr)]]*Table2[[#This Row],[Remaining Life:]])</f>
        <v/>
      </c>
    </row>
    <row r="5" spans="1:85" s="61" customFormat="1" ht="15.45" customHeight="1">
      <c r="A5" s="184" t="str">
        <f>IF(A4&lt;Application!$D$24,A4+1,"")</f>
        <v/>
      </c>
      <c r="B5" s="60" t="str">
        <f>IF(Table2[[#This Row],[Counter Number]]="","",Application!$D$16)</f>
        <v/>
      </c>
      <c r="C5" s="60" t="str">
        <f>IF(Table2[[#This Row],[Counter Number]]="","",Application!$D$14)</f>
        <v/>
      </c>
      <c r="D5" s="60" t="str">
        <f>IF(Table2[[#This Row],[Counter Number]]="","",Table1[[#This Row],[Old Bus Number]])</f>
        <v/>
      </c>
      <c r="E5" s="60" t="str">
        <f>IF(Table2[[#This Row],[Counter Number]]="","",Application!$D$15)</f>
        <v/>
      </c>
      <c r="F5" s="60" t="str">
        <f>IF(Table2[[#This Row],[Counter Number]]="","","On Highway")</f>
        <v/>
      </c>
      <c r="G5" s="60" t="str">
        <f>IF(Table2[[#This Row],[Counter Number]]="","",I5)</f>
        <v/>
      </c>
      <c r="H5" s="60" t="str">
        <f>IF(Table2[[#This Row],[Counter Number]]="","","Georgia")</f>
        <v/>
      </c>
      <c r="I5" s="60" t="str">
        <f>IF(Table2[[#This Row],[Counter Number]]="","",Application!$D$16)</f>
        <v/>
      </c>
      <c r="J5" s="60" t="str">
        <f>IF(Table2[[#This Row],[Counter Number]]="","",Application!$D$21)</f>
        <v/>
      </c>
      <c r="K5" s="60" t="str">
        <f>IF(Table2[[#This Row],[Counter Number]]="","",Application!$J$21)</f>
        <v/>
      </c>
      <c r="L5" s="60" t="str">
        <f>IF(Table2[[#This Row],[Counter Number]]="","","School Bus")</f>
        <v/>
      </c>
      <c r="M5" s="60" t="str">
        <f>IF(Table2[[#This Row],[Counter Number]]="","","School Bus")</f>
        <v/>
      </c>
      <c r="N5" s="60" t="str">
        <f>IF(Table2[[#This Row],[Counter Number]]="","",1)</f>
        <v/>
      </c>
      <c r="O5" s="60" t="str">
        <f>IF(Table2[[#This Row],[Counter Number]]="","",Table1[[#This Row],[Vehicle Identification Number(s):]])</f>
        <v/>
      </c>
      <c r="P5" s="60" t="str">
        <f>IF(Table2[[#This Row],[Counter Number]]="","",Table1[[#This Row],[Old Bus Manufacturer:]])</f>
        <v/>
      </c>
      <c r="Q5" s="60" t="str">
        <f>IF(Table2[[#This Row],[Counter Number]]="","",Table1[[#This Row],[Vehicle Model:]])</f>
        <v/>
      </c>
      <c r="R5" s="165" t="str">
        <f>IF(Table2[[#This Row],[Counter Number]]="","",Table1[[#This Row],[Vehicle Model Year:]])</f>
        <v/>
      </c>
      <c r="S5" s="60" t="str">
        <f>IF(Table2[[#This Row],[Counter Number]]="","",Table1[[#This Row],[Engine Serial Number(s):]])</f>
        <v/>
      </c>
      <c r="T5" s="60" t="str">
        <f>IF(Table2[[#This Row],[Counter Number]]="","",Table1[[#This Row],[Engine Make:]])</f>
        <v/>
      </c>
      <c r="U5" s="60" t="str">
        <f>IF(Table2[[#This Row],[Counter Number]]="","",Table1[[#This Row],[Engine Model:]])</f>
        <v/>
      </c>
      <c r="V5" s="165" t="str">
        <f>IF(Table2[[#This Row],[Counter Number]]="","",Table1[[#This Row],[Engine Model Year:]])</f>
        <v/>
      </c>
      <c r="W5" s="60" t="str">
        <f>IF(Table2[[#This Row],[Counter Number]]="","","NA")</f>
        <v/>
      </c>
      <c r="X5" s="165" t="str">
        <f>IF(Table2[[#This Row],[Counter Number]]="","",Table1[[#This Row],[Engine Horsepower (HP):]])</f>
        <v/>
      </c>
      <c r="Y5" s="165" t="str">
        <f>IF(Table2[[#This Row],[Counter Number]]="","",Table1[[#This Row],[Engine Cylinder Displacement (L):]]&amp;" L")</f>
        <v/>
      </c>
      <c r="Z5" s="165" t="str">
        <f>IF(Table2[[#This Row],[Counter Number]]="","",Table1[[#This Row],[Engine Number of Cylinders:]])</f>
        <v/>
      </c>
      <c r="AA5" s="166" t="str">
        <f>IF(Table2[[#This Row],[Counter Number]]="","",Table1[[#This Row],[Engine Family Name:]])</f>
        <v/>
      </c>
      <c r="AB5" s="60" t="str">
        <f>IF(Table2[[#This Row],[Counter Number]]="","","ULSD")</f>
        <v/>
      </c>
      <c r="AC5" s="167" t="str">
        <f>IF(Table2[[#This Row],[Counter Number]]="","",Table2[[#This Row],[Annual Miles Traveled:]]/Table1[[#This Row],[Old Fuel (mpg)]])</f>
        <v/>
      </c>
      <c r="AD5" s="60" t="str">
        <f>IF(Table2[[#This Row],[Counter Number]]="","","NA")</f>
        <v/>
      </c>
      <c r="AE5" s="168" t="str">
        <f>IF(Table2[[#This Row],[Counter Number]]="","",Table1[[#This Row],[Annual Miles Traveled]])</f>
        <v/>
      </c>
      <c r="AF5" s="169" t="str">
        <f>IF(Table2[[#This Row],[Counter Number]]="","",Table1[[#This Row],[Annual Idling Hours:]])</f>
        <v/>
      </c>
      <c r="AG5" s="60" t="str">
        <f>IF(Table2[[#This Row],[Counter Number]]="","","NA")</f>
        <v/>
      </c>
      <c r="AH5" s="165" t="str">
        <f>IF(Table2[[#This Row],[Counter Number]]="","",IF(Application!$J$25="Set Policy",Table1[[#This Row],[Remaining Life (years)         Set Policy]],Table1[[#This Row],[Remaining Life (years)               Case-by-Case]]))</f>
        <v/>
      </c>
      <c r="AI5" s="165" t="str">
        <f>IF(Table2[[#This Row],[Counter Number]]="","",IF(Application!$J$25="Case-by-Case","NA",Table2[[#This Row],[Fiscal Year of EPA Funds Used:]]+Table2[[#This Row],[Remaining Life:]]))</f>
        <v/>
      </c>
      <c r="AJ5" s="165"/>
      <c r="AK5" s="170" t="str">
        <f>IF(Table2[[#This Row],[Counter Number]]="","",Application!$D$14+1)</f>
        <v/>
      </c>
      <c r="AL5" s="60" t="str">
        <f>IF(Table2[[#This Row],[Counter Number]]="","","Vehicle Replacement")</f>
        <v/>
      </c>
      <c r="AM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 s="171" t="str">
        <f>IF(Table2[[#This Row],[Counter Number]]="","",Table1[[#This Row],[Cost of New Bus:]])</f>
        <v/>
      </c>
      <c r="AO5" s="60" t="str">
        <f>IF(Table2[[#This Row],[Counter Number]]="","","NA")</f>
        <v/>
      </c>
      <c r="AP5" s="165" t="str">
        <f>IF(Table2[[#This Row],[Counter Number]]="","",Table1[[#This Row],[New Engine Model Year:]])</f>
        <v/>
      </c>
      <c r="AQ5" s="60" t="str">
        <f>IF(Table2[[#This Row],[Counter Number]]="","","NA")</f>
        <v/>
      </c>
      <c r="AR5" s="165" t="str">
        <f>IF(Table2[[#This Row],[Counter Number]]="","",Table1[[#This Row],[New Engine Horsepower (HP):]])</f>
        <v/>
      </c>
      <c r="AS5" s="60" t="str">
        <f>IF(Table2[[#This Row],[Counter Number]]="","","NA")</f>
        <v/>
      </c>
      <c r="AT5" s="165" t="str">
        <f>IF(Table2[[#This Row],[Counter Number]]="","",Table1[[#This Row],[New Engine Cylinder Displacement (L):]]&amp;" L")</f>
        <v/>
      </c>
      <c r="AU5" s="114" t="str">
        <f>IF(Table2[[#This Row],[Counter Number]]="","",Table1[[#This Row],[New Engine Number of Cylinders:]])</f>
        <v/>
      </c>
      <c r="AV5" s="60" t="str">
        <f>IF(Table2[[#This Row],[Counter Number]]="","",Table1[[#This Row],[New Engine Family Name:]])</f>
        <v/>
      </c>
      <c r="AW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 s="60" t="str">
        <f>IF(Table2[[#This Row],[Counter Number]]="","","NA")</f>
        <v/>
      </c>
      <c r="AY5" s="172" t="str">
        <f>IF(Table2[[#This Row],[Counter Number]]="","",IF(Table2[[#This Row],[New Engine Fuel Type:]]="ULSD",Table1[[#This Row],[Annual Miles Traveled]]/Table1[[#This Row],[New Fuel (mpg) if Diesel]],""))</f>
        <v/>
      </c>
      <c r="AZ5" s="60"/>
      <c r="BA5" s="173" t="str">
        <f>IF(Table2[[#This Row],[Counter Number]]="","",Table2[[#This Row],[Annual Miles Traveled:]]*VLOOKUP(Table2[[#This Row],[Engine Model Year:]],EFTable[],3,FALSE))</f>
        <v/>
      </c>
      <c r="BB5" s="173" t="str">
        <f>IF(Table2[[#This Row],[Counter Number]]="","",Table2[[#This Row],[Annual Miles Traveled:]]*IF(Table2[[#This Row],[New Engine Fuel Type:]]="ULSD",VLOOKUP(Table2[[#This Row],[New Engine Model Year:]],EFTable[],3,FALSE),VLOOKUP(Table2[[#This Row],[New Engine Fuel Type:]],EFTable[],3,FALSE)))</f>
        <v/>
      </c>
      <c r="BC5" s="173" t="str">
        <f>IF(Table2[[#This Row],[Counter Number]]="","",Table2[[#This Row],[Old Bus NOx Emissions (tons/yr)]]-Table2[[#This Row],[New Bus NOx Emissions (tons/yr)]])</f>
        <v/>
      </c>
      <c r="BD5" s="174" t="str">
        <f>IF(Table2[[#This Row],[Counter Number]]="","",Table2[[#This Row],[Reduction Bus NOx Emissions (tons/yr)]]/Table2[[#This Row],[Old Bus NOx Emissions (tons/yr)]])</f>
        <v/>
      </c>
      <c r="BE5" s="175" t="str">
        <f>IF(Table2[[#This Row],[Counter Number]]="","",Table2[[#This Row],[Reduction Bus NOx Emissions (tons/yr)]]*Table2[[#This Row],[Remaining Life:]])</f>
        <v/>
      </c>
      <c r="BF5" s="176" t="str">
        <f>IF(Table2[[#This Row],[Counter Number]]="","",IF(Table2[[#This Row],[Lifetime NOx Reduction (tons)]]=0,"NA",Table2[[#This Row],[Upgrade Cost Per Unit]]/Table2[[#This Row],[Lifetime NOx Reduction (tons)]]))</f>
        <v/>
      </c>
      <c r="BG5" s="177" t="str">
        <f>IF(Table2[[#This Row],[Counter Number]]="","",Table2[[#This Row],[Annual Miles Traveled:]]*VLOOKUP(Table2[[#This Row],[Engine Model Year:]],EF!$A$2:$G$27,4,FALSE))</f>
        <v/>
      </c>
      <c r="BH5" s="173" t="str">
        <f>IF(Table2[[#This Row],[Counter Number]]="","",Table2[[#This Row],[Annual Miles Traveled:]]*IF(Table2[[#This Row],[New Engine Fuel Type:]]="ULSD",VLOOKUP(Table2[[#This Row],[New Engine Model Year:]],EFTable[],4,FALSE),VLOOKUP(Table2[[#This Row],[New Engine Fuel Type:]],EFTable[],4,FALSE)))</f>
        <v/>
      </c>
      <c r="BI5" s="178" t="str">
        <f>IF(Table2[[#This Row],[Counter Number]]="","",Table2[[#This Row],[Old Bus PM2.5 Emissions (tons/yr)]]-Table2[[#This Row],[New Bus PM2.5 Emissions (tons/yr)]])</f>
        <v/>
      </c>
      <c r="BJ5" s="185" t="str">
        <f>IF(Table2[[#This Row],[Counter Number]]="","",Table2[[#This Row],[Reduction Bus PM2.5 Emissions (tons/yr)]]/Table2[[#This Row],[Old Bus PM2.5 Emissions (tons/yr)]])</f>
        <v/>
      </c>
      <c r="BK5" s="175" t="str">
        <f>IF(Table2[[#This Row],[Counter Number]]="","",Table2[[#This Row],[Reduction Bus PM2.5 Emissions (tons/yr)]]*Table2[[#This Row],[Remaining Life:]])</f>
        <v/>
      </c>
      <c r="BL5" s="186" t="str">
        <f>IF(Table2[[#This Row],[Counter Number]]="","",IF(Table2[[#This Row],[Lifetime PM2.5 Reduction (tons)]]=0,"NA",Table2[[#This Row],[Upgrade Cost Per Unit]]/Table2[[#This Row],[Lifetime PM2.5 Reduction (tons)]]))</f>
        <v/>
      </c>
      <c r="BM5" s="179" t="str">
        <f>IF(Table2[[#This Row],[Counter Number]]="","",Table2[[#This Row],[Annual Miles Traveled:]]*VLOOKUP(Table2[[#This Row],[Engine Model Year:]],EF!$A$2:$G$40,5,FALSE))</f>
        <v/>
      </c>
      <c r="BN5" s="173" t="str">
        <f>IF(Table2[[#This Row],[Counter Number]]="","",Table2[[#This Row],[Annual Miles Traveled:]]*IF(Table2[[#This Row],[New Engine Fuel Type:]]="ULSD",VLOOKUP(Table2[[#This Row],[New Engine Model Year:]],EFTable[],5,FALSE),VLOOKUP(Table2[[#This Row],[New Engine Fuel Type:]],EFTable[],5,FALSE)))</f>
        <v/>
      </c>
      <c r="BO5" s="177" t="str">
        <f>IF(Table2[[#This Row],[Counter Number]]="","",Table2[[#This Row],[Old Bus HC Emissions (tons/yr)]]-Table2[[#This Row],[New Bus HC Emissions (tons/yr)]])</f>
        <v/>
      </c>
      <c r="BP5" s="174" t="str">
        <f>IF(Table2[[#This Row],[Counter Number]]="","",Table2[[#This Row],[Reduction Bus HC Emissions (tons/yr)]]/Table2[[#This Row],[Old Bus HC Emissions (tons/yr)]])</f>
        <v/>
      </c>
      <c r="BQ5" s="175" t="str">
        <f>IF(Table2[[#This Row],[Counter Number]]="","",Table2[[#This Row],[Reduction Bus HC Emissions (tons/yr)]]*Table2[[#This Row],[Remaining Life:]])</f>
        <v/>
      </c>
      <c r="BR5" s="186" t="str">
        <f>IF(Table2[[#This Row],[Counter Number]]="","",IF(Table2[[#This Row],[Lifetime HC Reduction (tons)]]=0,"NA",Table2[[#This Row],[Upgrade Cost Per Unit]]/Table2[[#This Row],[Lifetime HC Reduction (tons)]]))</f>
        <v/>
      </c>
      <c r="BS5" s="178" t="str">
        <f>IF(Table2[[#This Row],[Counter Number]]="","",Table2[[#This Row],[Annual Miles Traveled:]]*VLOOKUP(Table2[[#This Row],[Engine Model Year:]],EF!$A$2:$G$27,6,FALSE))</f>
        <v/>
      </c>
      <c r="BT5" s="173" t="str">
        <f>IF(Table2[[#This Row],[Counter Number]]="","",Table2[[#This Row],[Annual Miles Traveled:]]*IF(Table2[[#This Row],[New Engine Fuel Type:]]="ULSD",VLOOKUP(Table2[[#This Row],[New Engine Model Year:]],EFTable[],6,FALSE),VLOOKUP(Table2[[#This Row],[New Engine Fuel Type:]],EFTable[],6,FALSE)))</f>
        <v/>
      </c>
      <c r="BU5" s="177" t="str">
        <f>IF(Table2[[#This Row],[Counter Number]]="","",Table2[[#This Row],[Old Bus CO Emissions (tons/yr)]]-Table2[[#This Row],[New Bus CO Emissions (tons/yr)]])</f>
        <v/>
      </c>
      <c r="BV5" s="174" t="str">
        <f>IF(Table2[[#This Row],[Counter Number]]="","",Table2[[#This Row],[Reduction Bus CO Emissions (tons/yr)]]/Table2[[#This Row],[Old Bus CO Emissions (tons/yr)]])</f>
        <v/>
      </c>
      <c r="BW5" s="175" t="str">
        <f>IF(Table2[[#This Row],[Counter Number]]="","",Table2[[#This Row],[Reduction Bus CO Emissions (tons/yr)]]*Table2[[#This Row],[Remaining Life:]])</f>
        <v/>
      </c>
      <c r="BX5" s="186" t="str">
        <f>IF(Table2[[#This Row],[Counter Number]]="","",IF(Table2[[#This Row],[Lifetime CO Reduction (tons)]]=0,"NA",Table2[[#This Row],[Upgrade Cost Per Unit]]/Table2[[#This Row],[Lifetime CO Reduction (tons)]]))</f>
        <v/>
      </c>
      <c r="BY5" s="180" t="str">
        <f>IF(Table2[[#This Row],[Counter Number]]="","",Table2[[#This Row],[Old ULSD Used (gal):]]*VLOOKUP(Table2[[#This Row],[Engine Model Year:]],EF!$A$2:$G$27,7,FALSE))</f>
        <v/>
      </c>
      <c r="BZ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 s="181" t="str">
        <f>IF(Table2[[#This Row],[Counter Number]]="","",Table2[[#This Row],[Old Bus CO2 Emissions (tons/yr)]]-Table2[[#This Row],[New Bus CO2 Emissions (tons/yr)]])</f>
        <v/>
      </c>
      <c r="CB5" s="174" t="str">
        <f>IF(Table2[[#This Row],[Counter Number]]="","",Table2[[#This Row],[Reduction Bus CO2 Emissions (tons/yr)]]/Table2[[#This Row],[Old Bus CO2 Emissions (tons/yr)]])</f>
        <v/>
      </c>
      <c r="CC5" s="181" t="str">
        <f>IF(Table2[[#This Row],[Counter Number]]="","",Table2[[#This Row],[Reduction Bus CO2 Emissions (tons/yr)]]*Table2[[#This Row],[Remaining Life:]])</f>
        <v/>
      </c>
      <c r="CD5" s="186" t="str">
        <f>IF(Table2[[#This Row],[Counter Number]]="","",IF(Table2[[#This Row],[Lifetime CO2 Reduction (tons)]]=0,"NA",Table2[[#This Row],[Upgrade Cost Per Unit]]/Table2[[#This Row],[Lifetime CO2 Reduction (tons)]]))</f>
        <v/>
      </c>
      <c r="CE5" s="182" t="str">
        <f>IF(Table2[[#This Row],[Counter Number]]="","",IF(Table2[[#This Row],[New ULSD Used (gal):]]="",Table2[[#This Row],[Old ULSD Used (gal):]],Table2[[#This Row],[Old ULSD Used (gal):]]-Table2[[#This Row],[New ULSD Used (gal):]]))</f>
        <v/>
      </c>
      <c r="CF5" s="183" t="str">
        <f>IF(Table2[[#This Row],[Counter Number]]="","",Table2[[#This Row],[Diesel Fuel Reduction (gal/yr)]]/Table2[[#This Row],[Old ULSD Used (gal):]])</f>
        <v/>
      </c>
      <c r="CG5" s="182" t="str">
        <f>IF(Table2[[#This Row],[Counter Number]]="","",Table2[[#This Row],[Diesel Fuel Reduction (gal/yr)]]*Table2[[#This Row],[Remaining Life:]])</f>
        <v/>
      </c>
    </row>
    <row r="6" spans="1:85" s="61" customFormat="1" ht="15.45" customHeight="1">
      <c r="A6" s="184" t="str">
        <f>IF(A5&lt;Application!$D$24,A5+1,"")</f>
        <v/>
      </c>
      <c r="B6" s="60" t="str">
        <f>IF(Table2[[#This Row],[Counter Number]]="","",Application!$D$16)</f>
        <v/>
      </c>
      <c r="C6" s="60" t="str">
        <f>IF(Table2[[#This Row],[Counter Number]]="","",Application!$D$14)</f>
        <v/>
      </c>
      <c r="D6" s="60" t="str">
        <f>IF(Table2[[#This Row],[Counter Number]]="","",Table1[[#This Row],[Old Bus Number]])</f>
        <v/>
      </c>
      <c r="E6" s="60" t="str">
        <f>IF(Table2[[#This Row],[Counter Number]]="","",Application!$D$15)</f>
        <v/>
      </c>
      <c r="F6" s="60" t="str">
        <f>IF(Table2[[#This Row],[Counter Number]]="","","On Highway")</f>
        <v/>
      </c>
      <c r="G6" s="60" t="str">
        <f>IF(Table2[[#This Row],[Counter Number]]="","",I6)</f>
        <v/>
      </c>
      <c r="H6" s="60" t="str">
        <f>IF(Table2[[#This Row],[Counter Number]]="","","Georgia")</f>
        <v/>
      </c>
      <c r="I6" s="60" t="str">
        <f>IF(Table2[[#This Row],[Counter Number]]="","",Application!$D$16)</f>
        <v/>
      </c>
      <c r="J6" s="60" t="str">
        <f>IF(Table2[[#This Row],[Counter Number]]="","",Application!$D$21)</f>
        <v/>
      </c>
      <c r="K6" s="60" t="str">
        <f>IF(Table2[[#This Row],[Counter Number]]="","",Application!$J$21)</f>
        <v/>
      </c>
      <c r="L6" s="60" t="str">
        <f>IF(Table2[[#This Row],[Counter Number]]="","","School Bus")</f>
        <v/>
      </c>
      <c r="M6" s="60" t="str">
        <f>IF(Table2[[#This Row],[Counter Number]]="","","School Bus")</f>
        <v/>
      </c>
      <c r="N6" s="60" t="str">
        <f>IF(Table2[[#This Row],[Counter Number]]="","",1)</f>
        <v/>
      </c>
      <c r="O6" s="60" t="str">
        <f>IF(Table2[[#This Row],[Counter Number]]="","",Table1[[#This Row],[Vehicle Identification Number(s):]])</f>
        <v/>
      </c>
      <c r="P6" s="60" t="str">
        <f>IF(Table2[[#This Row],[Counter Number]]="","",Table1[[#This Row],[Old Bus Manufacturer:]])</f>
        <v/>
      </c>
      <c r="Q6" s="60" t="str">
        <f>IF(Table2[[#This Row],[Counter Number]]="","",Table1[[#This Row],[Vehicle Model:]])</f>
        <v/>
      </c>
      <c r="R6" s="165" t="str">
        <f>IF(Table2[[#This Row],[Counter Number]]="","",Table1[[#This Row],[Vehicle Model Year:]])</f>
        <v/>
      </c>
      <c r="S6" s="60" t="str">
        <f>IF(Table2[[#This Row],[Counter Number]]="","",Table1[[#This Row],[Engine Serial Number(s):]])</f>
        <v/>
      </c>
      <c r="T6" s="60" t="str">
        <f>IF(Table2[[#This Row],[Counter Number]]="","",Table1[[#This Row],[Engine Make:]])</f>
        <v/>
      </c>
      <c r="U6" s="60" t="str">
        <f>IF(Table2[[#This Row],[Counter Number]]="","",Table1[[#This Row],[Engine Model:]])</f>
        <v/>
      </c>
      <c r="V6" s="165" t="str">
        <f>IF(Table2[[#This Row],[Counter Number]]="","",Table1[[#This Row],[Engine Model Year:]])</f>
        <v/>
      </c>
      <c r="W6" s="60" t="str">
        <f>IF(Table2[[#This Row],[Counter Number]]="","","NA")</f>
        <v/>
      </c>
      <c r="X6" s="165" t="str">
        <f>IF(Table2[[#This Row],[Counter Number]]="","",Table1[[#This Row],[Engine Horsepower (HP):]])</f>
        <v/>
      </c>
      <c r="Y6" s="165" t="str">
        <f>IF(Table2[[#This Row],[Counter Number]]="","",Table1[[#This Row],[Engine Cylinder Displacement (L):]]&amp;" L")</f>
        <v/>
      </c>
      <c r="Z6" s="165" t="str">
        <f>IF(Table2[[#This Row],[Counter Number]]="","",Table1[[#This Row],[Engine Number of Cylinders:]])</f>
        <v/>
      </c>
      <c r="AA6" s="166" t="str">
        <f>IF(Table2[[#This Row],[Counter Number]]="","",Table1[[#This Row],[Engine Family Name:]])</f>
        <v/>
      </c>
      <c r="AB6" s="60" t="str">
        <f>IF(Table2[[#This Row],[Counter Number]]="","","ULSD")</f>
        <v/>
      </c>
      <c r="AC6" s="167" t="str">
        <f>IF(Table2[[#This Row],[Counter Number]]="","",Table2[[#This Row],[Annual Miles Traveled:]]/Table1[[#This Row],[Old Fuel (mpg)]])</f>
        <v/>
      </c>
      <c r="AD6" s="60" t="str">
        <f>IF(Table2[[#This Row],[Counter Number]]="","","NA")</f>
        <v/>
      </c>
      <c r="AE6" s="168" t="str">
        <f>IF(Table2[[#This Row],[Counter Number]]="","",Table1[[#This Row],[Annual Miles Traveled]])</f>
        <v/>
      </c>
      <c r="AF6" s="169" t="str">
        <f>IF(Table2[[#This Row],[Counter Number]]="","",Table1[[#This Row],[Annual Idling Hours:]])</f>
        <v/>
      </c>
      <c r="AG6" s="60" t="str">
        <f>IF(Table2[[#This Row],[Counter Number]]="","","NA")</f>
        <v/>
      </c>
      <c r="AH6" s="165" t="str">
        <f>IF(Table2[[#This Row],[Counter Number]]="","",IF(Application!$J$25="Set Policy",Table1[[#This Row],[Remaining Life (years)         Set Policy]],Table1[[#This Row],[Remaining Life (years)               Case-by-Case]]))</f>
        <v/>
      </c>
      <c r="AI6" s="165" t="str">
        <f>IF(Table2[[#This Row],[Counter Number]]="","",IF(Application!$J$25="Case-by-Case","NA",Table2[[#This Row],[Fiscal Year of EPA Funds Used:]]+Table2[[#This Row],[Remaining Life:]]))</f>
        <v/>
      </c>
      <c r="AJ6" s="165"/>
      <c r="AK6" s="170" t="str">
        <f>IF(Table2[[#This Row],[Counter Number]]="","",Application!$D$14+1)</f>
        <v/>
      </c>
      <c r="AL6" s="60" t="str">
        <f>IF(Table2[[#This Row],[Counter Number]]="","","Vehicle Replacement")</f>
        <v/>
      </c>
      <c r="AM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 s="171" t="str">
        <f>IF(Table2[[#This Row],[Counter Number]]="","",Table1[[#This Row],[Cost of New Bus:]])</f>
        <v/>
      </c>
      <c r="AO6" s="60" t="str">
        <f>IF(Table2[[#This Row],[Counter Number]]="","","NA")</f>
        <v/>
      </c>
      <c r="AP6" s="165" t="str">
        <f>IF(Table2[[#This Row],[Counter Number]]="","",Table1[[#This Row],[New Engine Model Year:]])</f>
        <v/>
      </c>
      <c r="AQ6" s="60" t="str">
        <f>IF(Table2[[#This Row],[Counter Number]]="","","NA")</f>
        <v/>
      </c>
      <c r="AR6" s="165" t="str">
        <f>IF(Table2[[#This Row],[Counter Number]]="","",Table1[[#This Row],[New Engine Horsepower (HP):]])</f>
        <v/>
      </c>
      <c r="AS6" s="60" t="str">
        <f>IF(Table2[[#This Row],[Counter Number]]="","","NA")</f>
        <v/>
      </c>
      <c r="AT6" s="165" t="str">
        <f>IF(Table2[[#This Row],[Counter Number]]="","",Table1[[#This Row],[New Engine Cylinder Displacement (L):]]&amp;" L")</f>
        <v/>
      </c>
      <c r="AU6" s="114" t="str">
        <f>IF(Table2[[#This Row],[Counter Number]]="","",Table1[[#This Row],[New Engine Number of Cylinders:]])</f>
        <v/>
      </c>
      <c r="AV6" s="60" t="str">
        <f>IF(Table2[[#This Row],[Counter Number]]="","",Table1[[#This Row],[New Engine Family Name:]])</f>
        <v/>
      </c>
      <c r="AW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 s="60" t="str">
        <f>IF(Table2[[#This Row],[Counter Number]]="","","NA")</f>
        <v/>
      </c>
      <c r="AY6" s="172" t="str">
        <f>IF(Table2[[#This Row],[Counter Number]]="","",IF(Table2[[#This Row],[New Engine Fuel Type:]]="ULSD",Table1[[#This Row],[Annual Miles Traveled]]/Table1[[#This Row],[New Fuel (mpg) if Diesel]],""))</f>
        <v/>
      </c>
      <c r="AZ6" s="60"/>
      <c r="BA6" s="173" t="str">
        <f>IF(Table2[[#This Row],[Counter Number]]="","",Table2[[#This Row],[Annual Miles Traveled:]]*VLOOKUP(Table2[[#This Row],[Engine Model Year:]],EFTable[],3,FALSE))</f>
        <v/>
      </c>
      <c r="BB6" s="173" t="str">
        <f>IF(Table2[[#This Row],[Counter Number]]="","",Table2[[#This Row],[Annual Miles Traveled:]]*IF(Table2[[#This Row],[New Engine Fuel Type:]]="ULSD",VLOOKUP(Table2[[#This Row],[New Engine Model Year:]],EFTable[],3,FALSE),VLOOKUP(Table2[[#This Row],[New Engine Fuel Type:]],EFTable[],3,FALSE)))</f>
        <v/>
      </c>
      <c r="BC6" s="173" t="str">
        <f>IF(Table2[[#This Row],[Counter Number]]="","",Table2[[#This Row],[Old Bus NOx Emissions (tons/yr)]]-Table2[[#This Row],[New Bus NOx Emissions (tons/yr)]])</f>
        <v/>
      </c>
      <c r="BD6" s="174" t="str">
        <f>IF(Table2[[#This Row],[Counter Number]]="","",Table2[[#This Row],[Reduction Bus NOx Emissions (tons/yr)]]/Table2[[#This Row],[Old Bus NOx Emissions (tons/yr)]])</f>
        <v/>
      </c>
      <c r="BE6" s="175" t="str">
        <f>IF(Table2[[#This Row],[Counter Number]]="","",Table2[[#This Row],[Reduction Bus NOx Emissions (tons/yr)]]*Table2[[#This Row],[Remaining Life:]])</f>
        <v/>
      </c>
      <c r="BF6" s="176" t="str">
        <f>IF(Table2[[#This Row],[Counter Number]]="","",IF(Table2[[#This Row],[Lifetime NOx Reduction (tons)]]=0,"NA",Table2[[#This Row],[Upgrade Cost Per Unit]]/Table2[[#This Row],[Lifetime NOx Reduction (tons)]]))</f>
        <v/>
      </c>
      <c r="BG6" s="177" t="str">
        <f>IF(Table2[[#This Row],[Counter Number]]="","",Table2[[#This Row],[Annual Miles Traveled:]]*VLOOKUP(Table2[[#This Row],[Engine Model Year:]],EF!$A$2:$G$27,4,FALSE))</f>
        <v/>
      </c>
      <c r="BH6" s="173" t="str">
        <f>IF(Table2[[#This Row],[Counter Number]]="","",Table2[[#This Row],[Annual Miles Traveled:]]*IF(Table2[[#This Row],[New Engine Fuel Type:]]="ULSD",VLOOKUP(Table2[[#This Row],[New Engine Model Year:]],EFTable[],4,FALSE),VLOOKUP(Table2[[#This Row],[New Engine Fuel Type:]],EFTable[],4,FALSE)))</f>
        <v/>
      </c>
      <c r="BI6" s="178" t="str">
        <f>IF(Table2[[#This Row],[Counter Number]]="","",Table2[[#This Row],[Old Bus PM2.5 Emissions (tons/yr)]]-Table2[[#This Row],[New Bus PM2.5 Emissions (tons/yr)]])</f>
        <v/>
      </c>
      <c r="BJ6" s="185" t="str">
        <f>IF(Table2[[#This Row],[Counter Number]]="","",Table2[[#This Row],[Reduction Bus PM2.5 Emissions (tons/yr)]]/Table2[[#This Row],[Old Bus PM2.5 Emissions (tons/yr)]])</f>
        <v/>
      </c>
      <c r="BK6" s="175" t="str">
        <f>IF(Table2[[#This Row],[Counter Number]]="","",Table2[[#This Row],[Reduction Bus PM2.5 Emissions (tons/yr)]]*Table2[[#This Row],[Remaining Life:]])</f>
        <v/>
      </c>
      <c r="BL6" s="186" t="str">
        <f>IF(Table2[[#This Row],[Counter Number]]="","",IF(Table2[[#This Row],[Lifetime PM2.5 Reduction (tons)]]=0,"NA",Table2[[#This Row],[Upgrade Cost Per Unit]]/Table2[[#This Row],[Lifetime PM2.5 Reduction (tons)]]))</f>
        <v/>
      </c>
      <c r="BM6" s="179" t="str">
        <f>IF(Table2[[#This Row],[Counter Number]]="","",Table2[[#This Row],[Annual Miles Traveled:]]*VLOOKUP(Table2[[#This Row],[Engine Model Year:]],EF!$A$2:$G$40,5,FALSE))</f>
        <v/>
      </c>
      <c r="BN6" s="173" t="str">
        <f>IF(Table2[[#This Row],[Counter Number]]="","",Table2[[#This Row],[Annual Miles Traveled:]]*IF(Table2[[#This Row],[New Engine Fuel Type:]]="ULSD",VLOOKUP(Table2[[#This Row],[New Engine Model Year:]],EFTable[],5,FALSE),VLOOKUP(Table2[[#This Row],[New Engine Fuel Type:]],EFTable[],5,FALSE)))</f>
        <v/>
      </c>
      <c r="BO6" s="177" t="str">
        <f>IF(Table2[[#This Row],[Counter Number]]="","",Table2[[#This Row],[Old Bus HC Emissions (tons/yr)]]-Table2[[#This Row],[New Bus HC Emissions (tons/yr)]])</f>
        <v/>
      </c>
      <c r="BP6" s="174" t="str">
        <f>IF(Table2[[#This Row],[Counter Number]]="","",Table2[[#This Row],[Reduction Bus HC Emissions (tons/yr)]]/Table2[[#This Row],[Old Bus HC Emissions (tons/yr)]])</f>
        <v/>
      </c>
      <c r="BQ6" s="175" t="str">
        <f>IF(Table2[[#This Row],[Counter Number]]="","",Table2[[#This Row],[Reduction Bus HC Emissions (tons/yr)]]*Table2[[#This Row],[Remaining Life:]])</f>
        <v/>
      </c>
      <c r="BR6" s="186" t="str">
        <f>IF(Table2[[#This Row],[Counter Number]]="","",IF(Table2[[#This Row],[Lifetime HC Reduction (tons)]]=0,"NA",Table2[[#This Row],[Upgrade Cost Per Unit]]/Table2[[#This Row],[Lifetime HC Reduction (tons)]]))</f>
        <v/>
      </c>
      <c r="BS6" s="178" t="str">
        <f>IF(Table2[[#This Row],[Counter Number]]="","",Table2[[#This Row],[Annual Miles Traveled:]]*VLOOKUP(Table2[[#This Row],[Engine Model Year:]],EF!$A$2:$G$27,6,FALSE))</f>
        <v/>
      </c>
      <c r="BT6" s="173" t="str">
        <f>IF(Table2[[#This Row],[Counter Number]]="","",Table2[[#This Row],[Annual Miles Traveled:]]*IF(Table2[[#This Row],[New Engine Fuel Type:]]="ULSD",VLOOKUP(Table2[[#This Row],[New Engine Model Year:]],EFTable[],6,FALSE),VLOOKUP(Table2[[#This Row],[New Engine Fuel Type:]],EFTable[],6,FALSE)))</f>
        <v/>
      </c>
      <c r="BU6" s="177" t="str">
        <f>IF(Table2[[#This Row],[Counter Number]]="","",Table2[[#This Row],[Old Bus CO Emissions (tons/yr)]]-Table2[[#This Row],[New Bus CO Emissions (tons/yr)]])</f>
        <v/>
      </c>
      <c r="BV6" s="174" t="str">
        <f>IF(Table2[[#This Row],[Counter Number]]="","",Table2[[#This Row],[Reduction Bus CO Emissions (tons/yr)]]/Table2[[#This Row],[Old Bus CO Emissions (tons/yr)]])</f>
        <v/>
      </c>
      <c r="BW6" s="175" t="str">
        <f>IF(Table2[[#This Row],[Counter Number]]="","",Table2[[#This Row],[Reduction Bus CO Emissions (tons/yr)]]*Table2[[#This Row],[Remaining Life:]])</f>
        <v/>
      </c>
      <c r="BX6" s="186" t="str">
        <f>IF(Table2[[#This Row],[Counter Number]]="","",IF(Table2[[#This Row],[Lifetime CO Reduction (tons)]]=0,"NA",Table2[[#This Row],[Upgrade Cost Per Unit]]/Table2[[#This Row],[Lifetime CO Reduction (tons)]]))</f>
        <v/>
      </c>
      <c r="BY6" s="180" t="str">
        <f>IF(Table2[[#This Row],[Counter Number]]="","",Table2[[#This Row],[Old ULSD Used (gal):]]*VLOOKUP(Table2[[#This Row],[Engine Model Year:]],EF!$A$2:$G$27,7,FALSE))</f>
        <v/>
      </c>
      <c r="BZ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 s="181" t="str">
        <f>IF(Table2[[#This Row],[Counter Number]]="","",Table2[[#This Row],[Old Bus CO2 Emissions (tons/yr)]]-Table2[[#This Row],[New Bus CO2 Emissions (tons/yr)]])</f>
        <v/>
      </c>
      <c r="CB6" s="174" t="str">
        <f>IF(Table2[[#This Row],[Counter Number]]="","",Table2[[#This Row],[Reduction Bus CO2 Emissions (tons/yr)]]/Table2[[#This Row],[Old Bus CO2 Emissions (tons/yr)]])</f>
        <v/>
      </c>
      <c r="CC6" s="181" t="str">
        <f>IF(Table2[[#This Row],[Counter Number]]="","",Table2[[#This Row],[Reduction Bus CO2 Emissions (tons/yr)]]*Table2[[#This Row],[Remaining Life:]])</f>
        <v/>
      </c>
      <c r="CD6" s="186" t="str">
        <f>IF(Table2[[#This Row],[Counter Number]]="","",IF(Table2[[#This Row],[Lifetime CO2 Reduction (tons)]]=0,"NA",Table2[[#This Row],[Upgrade Cost Per Unit]]/Table2[[#This Row],[Lifetime CO2 Reduction (tons)]]))</f>
        <v/>
      </c>
      <c r="CE6" s="182" t="str">
        <f>IF(Table2[[#This Row],[Counter Number]]="","",IF(Table2[[#This Row],[New ULSD Used (gal):]]="",Table2[[#This Row],[Old ULSD Used (gal):]],Table2[[#This Row],[Old ULSD Used (gal):]]-Table2[[#This Row],[New ULSD Used (gal):]]))</f>
        <v/>
      </c>
      <c r="CF6" s="183" t="str">
        <f>IF(Table2[[#This Row],[Counter Number]]="","",Table2[[#This Row],[Diesel Fuel Reduction (gal/yr)]]/Table2[[#This Row],[Old ULSD Used (gal):]])</f>
        <v/>
      </c>
      <c r="CG6" s="182" t="str">
        <f>IF(Table2[[#This Row],[Counter Number]]="","",Table2[[#This Row],[Diesel Fuel Reduction (gal/yr)]]*Table2[[#This Row],[Remaining Life:]])</f>
        <v/>
      </c>
    </row>
    <row r="7" spans="1:85" s="61" customFormat="1" ht="15.45" customHeight="1">
      <c r="A7" s="184" t="str">
        <f>IF(A6&lt;Application!$D$24,A6+1,"")</f>
        <v/>
      </c>
      <c r="B7" s="60" t="str">
        <f>IF(Table2[[#This Row],[Counter Number]]="","",Application!$D$16)</f>
        <v/>
      </c>
      <c r="C7" s="60" t="str">
        <f>IF(Table2[[#This Row],[Counter Number]]="","",Application!$D$14)</f>
        <v/>
      </c>
      <c r="D7" s="60" t="str">
        <f>IF(Table2[[#This Row],[Counter Number]]="","",Table1[[#This Row],[Old Bus Number]])</f>
        <v/>
      </c>
      <c r="E7" s="60" t="str">
        <f>IF(Table2[[#This Row],[Counter Number]]="","",Application!$D$15)</f>
        <v/>
      </c>
      <c r="F7" s="60" t="str">
        <f>IF(Table2[[#This Row],[Counter Number]]="","","On Highway")</f>
        <v/>
      </c>
      <c r="G7" s="60" t="str">
        <f>IF(Table2[[#This Row],[Counter Number]]="","",I7)</f>
        <v/>
      </c>
      <c r="H7" s="60" t="str">
        <f>IF(Table2[[#This Row],[Counter Number]]="","","Georgia")</f>
        <v/>
      </c>
      <c r="I7" s="60" t="str">
        <f>IF(Table2[[#This Row],[Counter Number]]="","",Application!$D$16)</f>
        <v/>
      </c>
      <c r="J7" s="60" t="str">
        <f>IF(Table2[[#This Row],[Counter Number]]="","",Application!$D$21)</f>
        <v/>
      </c>
      <c r="K7" s="60" t="str">
        <f>IF(Table2[[#This Row],[Counter Number]]="","",Application!$J$21)</f>
        <v/>
      </c>
      <c r="L7" s="60" t="str">
        <f>IF(Table2[[#This Row],[Counter Number]]="","","School Bus")</f>
        <v/>
      </c>
      <c r="M7" s="60" t="str">
        <f>IF(Table2[[#This Row],[Counter Number]]="","","School Bus")</f>
        <v/>
      </c>
      <c r="N7" s="60" t="str">
        <f>IF(Table2[[#This Row],[Counter Number]]="","",1)</f>
        <v/>
      </c>
      <c r="O7" s="60" t="str">
        <f>IF(Table2[[#This Row],[Counter Number]]="","",Table1[[#This Row],[Vehicle Identification Number(s):]])</f>
        <v/>
      </c>
      <c r="P7" s="60" t="str">
        <f>IF(Table2[[#This Row],[Counter Number]]="","",Table1[[#This Row],[Old Bus Manufacturer:]])</f>
        <v/>
      </c>
      <c r="Q7" s="60" t="str">
        <f>IF(Table2[[#This Row],[Counter Number]]="","",Table1[[#This Row],[Vehicle Model:]])</f>
        <v/>
      </c>
      <c r="R7" s="165" t="str">
        <f>IF(Table2[[#This Row],[Counter Number]]="","",Table1[[#This Row],[Vehicle Model Year:]])</f>
        <v/>
      </c>
      <c r="S7" s="60" t="str">
        <f>IF(Table2[[#This Row],[Counter Number]]="","",Table1[[#This Row],[Engine Serial Number(s):]])</f>
        <v/>
      </c>
      <c r="T7" s="60" t="str">
        <f>IF(Table2[[#This Row],[Counter Number]]="","",Table1[[#This Row],[Engine Make:]])</f>
        <v/>
      </c>
      <c r="U7" s="60" t="str">
        <f>IF(Table2[[#This Row],[Counter Number]]="","",Table1[[#This Row],[Engine Model:]])</f>
        <v/>
      </c>
      <c r="V7" s="165" t="str">
        <f>IF(Table2[[#This Row],[Counter Number]]="","",Table1[[#This Row],[Engine Model Year:]])</f>
        <v/>
      </c>
      <c r="W7" s="60" t="str">
        <f>IF(Table2[[#This Row],[Counter Number]]="","","NA")</f>
        <v/>
      </c>
      <c r="X7" s="165" t="str">
        <f>IF(Table2[[#This Row],[Counter Number]]="","",Table1[[#This Row],[Engine Horsepower (HP):]])</f>
        <v/>
      </c>
      <c r="Y7" s="165" t="str">
        <f>IF(Table2[[#This Row],[Counter Number]]="","",Table1[[#This Row],[Engine Cylinder Displacement (L):]]&amp;" L")</f>
        <v/>
      </c>
      <c r="Z7" s="165" t="str">
        <f>IF(Table2[[#This Row],[Counter Number]]="","",Table1[[#This Row],[Engine Number of Cylinders:]])</f>
        <v/>
      </c>
      <c r="AA7" s="166" t="str">
        <f>IF(Table2[[#This Row],[Counter Number]]="","",Table1[[#This Row],[Engine Family Name:]])</f>
        <v/>
      </c>
      <c r="AB7" s="60" t="str">
        <f>IF(Table2[[#This Row],[Counter Number]]="","","ULSD")</f>
        <v/>
      </c>
      <c r="AC7" s="167" t="str">
        <f>IF(Table2[[#This Row],[Counter Number]]="","",Table2[[#This Row],[Annual Miles Traveled:]]/Table1[[#This Row],[Old Fuel (mpg)]])</f>
        <v/>
      </c>
      <c r="AD7" s="60" t="str">
        <f>IF(Table2[[#This Row],[Counter Number]]="","","NA")</f>
        <v/>
      </c>
      <c r="AE7" s="168" t="str">
        <f>IF(Table2[[#This Row],[Counter Number]]="","",Table1[[#This Row],[Annual Miles Traveled]])</f>
        <v/>
      </c>
      <c r="AF7" s="169" t="str">
        <f>IF(Table2[[#This Row],[Counter Number]]="","",Table1[[#This Row],[Annual Idling Hours:]])</f>
        <v/>
      </c>
      <c r="AG7" s="60" t="str">
        <f>IF(Table2[[#This Row],[Counter Number]]="","","NA")</f>
        <v/>
      </c>
      <c r="AH7" s="165" t="str">
        <f>IF(Table2[[#This Row],[Counter Number]]="","",IF(Application!$J$25="Set Policy",Table1[[#This Row],[Remaining Life (years)         Set Policy]],Table1[[#This Row],[Remaining Life (years)               Case-by-Case]]))</f>
        <v/>
      </c>
      <c r="AI7" s="165" t="str">
        <f>IF(Table2[[#This Row],[Counter Number]]="","",IF(Application!$J$25="Case-by-Case","NA",Table2[[#This Row],[Fiscal Year of EPA Funds Used:]]+Table2[[#This Row],[Remaining Life:]]))</f>
        <v/>
      </c>
      <c r="AJ7" s="165"/>
      <c r="AK7" s="170" t="str">
        <f>IF(Table2[[#This Row],[Counter Number]]="","",Application!$D$14+1)</f>
        <v/>
      </c>
      <c r="AL7" s="60" t="str">
        <f>IF(Table2[[#This Row],[Counter Number]]="","","Vehicle Replacement")</f>
        <v/>
      </c>
      <c r="AM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 s="171" t="str">
        <f>IF(Table2[[#This Row],[Counter Number]]="","",Table1[[#This Row],[Cost of New Bus:]])</f>
        <v/>
      </c>
      <c r="AO7" s="60" t="str">
        <f>IF(Table2[[#This Row],[Counter Number]]="","","NA")</f>
        <v/>
      </c>
      <c r="AP7" s="165" t="str">
        <f>IF(Table2[[#This Row],[Counter Number]]="","",Table1[[#This Row],[New Engine Model Year:]])</f>
        <v/>
      </c>
      <c r="AQ7" s="60" t="str">
        <f>IF(Table2[[#This Row],[Counter Number]]="","","NA")</f>
        <v/>
      </c>
      <c r="AR7" s="165" t="str">
        <f>IF(Table2[[#This Row],[Counter Number]]="","",Table1[[#This Row],[New Engine Horsepower (HP):]])</f>
        <v/>
      </c>
      <c r="AS7" s="60" t="str">
        <f>IF(Table2[[#This Row],[Counter Number]]="","","NA")</f>
        <v/>
      </c>
      <c r="AT7" s="165" t="str">
        <f>IF(Table2[[#This Row],[Counter Number]]="","",Table1[[#This Row],[New Engine Cylinder Displacement (L):]]&amp;" L")</f>
        <v/>
      </c>
      <c r="AU7" s="114" t="str">
        <f>IF(Table2[[#This Row],[Counter Number]]="","",Table1[[#This Row],[New Engine Number of Cylinders:]])</f>
        <v/>
      </c>
      <c r="AV7" s="60" t="str">
        <f>IF(Table2[[#This Row],[Counter Number]]="","",Table1[[#This Row],[New Engine Family Name:]])</f>
        <v/>
      </c>
      <c r="AW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 s="60" t="str">
        <f>IF(Table2[[#This Row],[Counter Number]]="","","NA")</f>
        <v/>
      </c>
      <c r="AY7" s="172" t="str">
        <f>IF(Table2[[#This Row],[Counter Number]]="","",IF(Table2[[#This Row],[New Engine Fuel Type:]]="ULSD",Table1[[#This Row],[Annual Miles Traveled]]/Table1[[#This Row],[New Fuel (mpg) if Diesel]],""))</f>
        <v/>
      </c>
      <c r="AZ7" s="60"/>
      <c r="BA7" s="173" t="str">
        <f>IF(Table2[[#This Row],[Counter Number]]="","",Table2[[#This Row],[Annual Miles Traveled:]]*VLOOKUP(Table2[[#This Row],[Engine Model Year:]],EFTable[],3,FALSE))</f>
        <v/>
      </c>
      <c r="BB7" s="173" t="str">
        <f>IF(Table2[[#This Row],[Counter Number]]="","",Table2[[#This Row],[Annual Miles Traveled:]]*IF(Table2[[#This Row],[New Engine Fuel Type:]]="ULSD",VLOOKUP(Table2[[#This Row],[New Engine Model Year:]],EFTable[],3,FALSE),VLOOKUP(Table2[[#This Row],[New Engine Fuel Type:]],EFTable[],3,FALSE)))</f>
        <v/>
      </c>
      <c r="BC7" s="173" t="str">
        <f>IF(Table2[[#This Row],[Counter Number]]="","",Table2[[#This Row],[Old Bus NOx Emissions (tons/yr)]]-Table2[[#This Row],[New Bus NOx Emissions (tons/yr)]])</f>
        <v/>
      </c>
      <c r="BD7" s="174" t="str">
        <f>IF(Table2[[#This Row],[Counter Number]]="","",Table2[[#This Row],[Reduction Bus NOx Emissions (tons/yr)]]/Table2[[#This Row],[Old Bus NOx Emissions (tons/yr)]])</f>
        <v/>
      </c>
      <c r="BE7" s="175" t="str">
        <f>IF(Table2[[#This Row],[Counter Number]]="","",Table2[[#This Row],[Reduction Bus NOx Emissions (tons/yr)]]*Table2[[#This Row],[Remaining Life:]])</f>
        <v/>
      </c>
      <c r="BF7" s="176" t="str">
        <f>IF(Table2[[#This Row],[Counter Number]]="","",IF(Table2[[#This Row],[Lifetime NOx Reduction (tons)]]=0,"NA",Table2[[#This Row],[Upgrade Cost Per Unit]]/Table2[[#This Row],[Lifetime NOx Reduction (tons)]]))</f>
        <v/>
      </c>
      <c r="BG7" s="177" t="str">
        <f>IF(Table2[[#This Row],[Counter Number]]="","",Table2[[#This Row],[Annual Miles Traveled:]]*VLOOKUP(Table2[[#This Row],[Engine Model Year:]],EF!$A$2:$G$27,4,FALSE))</f>
        <v/>
      </c>
      <c r="BH7" s="173" t="str">
        <f>IF(Table2[[#This Row],[Counter Number]]="","",Table2[[#This Row],[Annual Miles Traveled:]]*IF(Table2[[#This Row],[New Engine Fuel Type:]]="ULSD",VLOOKUP(Table2[[#This Row],[New Engine Model Year:]],EFTable[],4,FALSE),VLOOKUP(Table2[[#This Row],[New Engine Fuel Type:]],EFTable[],4,FALSE)))</f>
        <v/>
      </c>
      <c r="BI7" s="178" t="str">
        <f>IF(Table2[[#This Row],[Counter Number]]="","",Table2[[#This Row],[Old Bus PM2.5 Emissions (tons/yr)]]-Table2[[#This Row],[New Bus PM2.5 Emissions (tons/yr)]])</f>
        <v/>
      </c>
      <c r="BJ7" s="185" t="str">
        <f>IF(Table2[[#This Row],[Counter Number]]="","",Table2[[#This Row],[Reduction Bus PM2.5 Emissions (tons/yr)]]/Table2[[#This Row],[Old Bus PM2.5 Emissions (tons/yr)]])</f>
        <v/>
      </c>
      <c r="BK7" s="175" t="str">
        <f>IF(Table2[[#This Row],[Counter Number]]="","",Table2[[#This Row],[Reduction Bus PM2.5 Emissions (tons/yr)]]*Table2[[#This Row],[Remaining Life:]])</f>
        <v/>
      </c>
      <c r="BL7" s="186" t="str">
        <f>IF(Table2[[#This Row],[Counter Number]]="","",IF(Table2[[#This Row],[Lifetime PM2.5 Reduction (tons)]]=0,"NA",Table2[[#This Row],[Upgrade Cost Per Unit]]/Table2[[#This Row],[Lifetime PM2.5 Reduction (tons)]]))</f>
        <v/>
      </c>
      <c r="BM7" s="179" t="str">
        <f>IF(Table2[[#This Row],[Counter Number]]="","",Table2[[#This Row],[Annual Miles Traveled:]]*VLOOKUP(Table2[[#This Row],[Engine Model Year:]],EF!$A$2:$G$40,5,FALSE))</f>
        <v/>
      </c>
      <c r="BN7" s="173" t="str">
        <f>IF(Table2[[#This Row],[Counter Number]]="","",Table2[[#This Row],[Annual Miles Traveled:]]*IF(Table2[[#This Row],[New Engine Fuel Type:]]="ULSD",VLOOKUP(Table2[[#This Row],[New Engine Model Year:]],EFTable[],5,FALSE),VLOOKUP(Table2[[#This Row],[New Engine Fuel Type:]],EFTable[],5,FALSE)))</f>
        <v/>
      </c>
      <c r="BO7" s="177" t="str">
        <f>IF(Table2[[#This Row],[Counter Number]]="","",Table2[[#This Row],[Old Bus HC Emissions (tons/yr)]]-Table2[[#This Row],[New Bus HC Emissions (tons/yr)]])</f>
        <v/>
      </c>
      <c r="BP7" s="174" t="str">
        <f>IF(Table2[[#This Row],[Counter Number]]="","",Table2[[#This Row],[Reduction Bus HC Emissions (tons/yr)]]/Table2[[#This Row],[Old Bus HC Emissions (tons/yr)]])</f>
        <v/>
      </c>
      <c r="BQ7" s="175" t="str">
        <f>IF(Table2[[#This Row],[Counter Number]]="","",Table2[[#This Row],[Reduction Bus HC Emissions (tons/yr)]]*Table2[[#This Row],[Remaining Life:]])</f>
        <v/>
      </c>
      <c r="BR7" s="186" t="str">
        <f>IF(Table2[[#This Row],[Counter Number]]="","",IF(Table2[[#This Row],[Lifetime HC Reduction (tons)]]=0,"NA",Table2[[#This Row],[Upgrade Cost Per Unit]]/Table2[[#This Row],[Lifetime HC Reduction (tons)]]))</f>
        <v/>
      </c>
      <c r="BS7" s="178" t="str">
        <f>IF(Table2[[#This Row],[Counter Number]]="","",Table2[[#This Row],[Annual Miles Traveled:]]*VLOOKUP(Table2[[#This Row],[Engine Model Year:]],EF!$A$2:$G$27,6,FALSE))</f>
        <v/>
      </c>
      <c r="BT7" s="173" t="str">
        <f>IF(Table2[[#This Row],[Counter Number]]="","",Table2[[#This Row],[Annual Miles Traveled:]]*IF(Table2[[#This Row],[New Engine Fuel Type:]]="ULSD",VLOOKUP(Table2[[#This Row],[New Engine Model Year:]],EFTable[],6,FALSE),VLOOKUP(Table2[[#This Row],[New Engine Fuel Type:]],EFTable[],6,FALSE)))</f>
        <v/>
      </c>
      <c r="BU7" s="177" t="str">
        <f>IF(Table2[[#This Row],[Counter Number]]="","",Table2[[#This Row],[Old Bus CO Emissions (tons/yr)]]-Table2[[#This Row],[New Bus CO Emissions (tons/yr)]])</f>
        <v/>
      </c>
      <c r="BV7" s="174" t="str">
        <f>IF(Table2[[#This Row],[Counter Number]]="","",Table2[[#This Row],[Reduction Bus CO Emissions (tons/yr)]]/Table2[[#This Row],[Old Bus CO Emissions (tons/yr)]])</f>
        <v/>
      </c>
      <c r="BW7" s="175" t="str">
        <f>IF(Table2[[#This Row],[Counter Number]]="","",Table2[[#This Row],[Reduction Bus CO Emissions (tons/yr)]]*Table2[[#This Row],[Remaining Life:]])</f>
        <v/>
      </c>
      <c r="BX7" s="186" t="str">
        <f>IF(Table2[[#This Row],[Counter Number]]="","",IF(Table2[[#This Row],[Lifetime CO Reduction (tons)]]=0,"NA",Table2[[#This Row],[Upgrade Cost Per Unit]]/Table2[[#This Row],[Lifetime CO Reduction (tons)]]))</f>
        <v/>
      </c>
      <c r="BY7" s="180" t="str">
        <f>IF(Table2[[#This Row],[Counter Number]]="","",Table2[[#This Row],[Old ULSD Used (gal):]]*VLOOKUP(Table2[[#This Row],[Engine Model Year:]],EF!$A$2:$G$27,7,FALSE))</f>
        <v/>
      </c>
      <c r="BZ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 s="181" t="str">
        <f>IF(Table2[[#This Row],[Counter Number]]="","",Table2[[#This Row],[Old Bus CO2 Emissions (tons/yr)]]-Table2[[#This Row],[New Bus CO2 Emissions (tons/yr)]])</f>
        <v/>
      </c>
      <c r="CB7" s="174" t="str">
        <f>IF(Table2[[#This Row],[Counter Number]]="","",Table2[[#This Row],[Reduction Bus CO2 Emissions (tons/yr)]]/Table2[[#This Row],[Old Bus CO2 Emissions (tons/yr)]])</f>
        <v/>
      </c>
      <c r="CC7" s="181" t="str">
        <f>IF(Table2[[#This Row],[Counter Number]]="","",Table2[[#This Row],[Reduction Bus CO2 Emissions (tons/yr)]]*Table2[[#This Row],[Remaining Life:]])</f>
        <v/>
      </c>
      <c r="CD7" s="186" t="str">
        <f>IF(Table2[[#This Row],[Counter Number]]="","",IF(Table2[[#This Row],[Lifetime CO2 Reduction (tons)]]=0,"NA",Table2[[#This Row],[Upgrade Cost Per Unit]]/Table2[[#This Row],[Lifetime CO2 Reduction (tons)]]))</f>
        <v/>
      </c>
      <c r="CE7" s="182" t="str">
        <f>IF(Table2[[#This Row],[Counter Number]]="","",IF(Table2[[#This Row],[New ULSD Used (gal):]]="",Table2[[#This Row],[Old ULSD Used (gal):]],Table2[[#This Row],[Old ULSD Used (gal):]]-Table2[[#This Row],[New ULSD Used (gal):]]))</f>
        <v/>
      </c>
      <c r="CF7" s="183" t="str">
        <f>IF(Table2[[#This Row],[Counter Number]]="","",Table2[[#This Row],[Diesel Fuel Reduction (gal/yr)]]/Table2[[#This Row],[Old ULSD Used (gal):]])</f>
        <v/>
      </c>
      <c r="CG7" s="182" t="str">
        <f>IF(Table2[[#This Row],[Counter Number]]="","",Table2[[#This Row],[Diesel Fuel Reduction (gal/yr)]]*Table2[[#This Row],[Remaining Life:]])</f>
        <v/>
      </c>
    </row>
    <row r="8" spans="1:85" s="61" customFormat="1" ht="15.45" customHeight="1">
      <c r="A8" s="184" t="str">
        <f>IF(A7&lt;Application!$D$24,A7+1,"")</f>
        <v/>
      </c>
      <c r="B8" s="60" t="str">
        <f>IF(Table2[[#This Row],[Counter Number]]="","",Application!$D$16)</f>
        <v/>
      </c>
      <c r="C8" s="60" t="str">
        <f>IF(Table2[[#This Row],[Counter Number]]="","",Application!$D$14)</f>
        <v/>
      </c>
      <c r="D8" s="60" t="str">
        <f>IF(Table2[[#This Row],[Counter Number]]="","",Table1[[#This Row],[Old Bus Number]])</f>
        <v/>
      </c>
      <c r="E8" s="60" t="str">
        <f>IF(Table2[[#This Row],[Counter Number]]="","",Application!$D$15)</f>
        <v/>
      </c>
      <c r="F8" s="60" t="str">
        <f>IF(Table2[[#This Row],[Counter Number]]="","","On Highway")</f>
        <v/>
      </c>
      <c r="G8" s="60" t="str">
        <f>IF(Table2[[#This Row],[Counter Number]]="","",I8)</f>
        <v/>
      </c>
      <c r="H8" s="60" t="str">
        <f>IF(Table2[[#This Row],[Counter Number]]="","","Georgia")</f>
        <v/>
      </c>
      <c r="I8" s="60" t="str">
        <f>IF(Table2[[#This Row],[Counter Number]]="","",Application!$D$16)</f>
        <v/>
      </c>
      <c r="J8" s="60" t="str">
        <f>IF(Table2[[#This Row],[Counter Number]]="","",Application!$D$21)</f>
        <v/>
      </c>
      <c r="K8" s="60" t="str">
        <f>IF(Table2[[#This Row],[Counter Number]]="","",Application!$J$21)</f>
        <v/>
      </c>
      <c r="L8" s="60" t="str">
        <f>IF(Table2[[#This Row],[Counter Number]]="","","School Bus")</f>
        <v/>
      </c>
      <c r="M8" s="60" t="str">
        <f>IF(Table2[[#This Row],[Counter Number]]="","","School Bus")</f>
        <v/>
      </c>
      <c r="N8" s="60" t="str">
        <f>IF(Table2[[#This Row],[Counter Number]]="","",1)</f>
        <v/>
      </c>
      <c r="O8" s="60" t="str">
        <f>IF(Table2[[#This Row],[Counter Number]]="","",Table1[[#This Row],[Vehicle Identification Number(s):]])</f>
        <v/>
      </c>
      <c r="P8" s="60" t="str">
        <f>IF(Table2[[#This Row],[Counter Number]]="","",Table1[[#This Row],[Old Bus Manufacturer:]])</f>
        <v/>
      </c>
      <c r="Q8" s="60" t="str">
        <f>IF(Table2[[#This Row],[Counter Number]]="","",Table1[[#This Row],[Vehicle Model:]])</f>
        <v/>
      </c>
      <c r="R8" s="165" t="str">
        <f>IF(Table2[[#This Row],[Counter Number]]="","",Table1[[#This Row],[Vehicle Model Year:]])</f>
        <v/>
      </c>
      <c r="S8" s="60" t="str">
        <f>IF(Table2[[#This Row],[Counter Number]]="","",Table1[[#This Row],[Engine Serial Number(s):]])</f>
        <v/>
      </c>
      <c r="T8" s="60" t="str">
        <f>IF(Table2[[#This Row],[Counter Number]]="","",Table1[[#This Row],[Engine Make:]])</f>
        <v/>
      </c>
      <c r="U8" s="60" t="str">
        <f>IF(Table2[[#This Row],[Counter Number]]="","",Table1[[#This Row],[Engine Model:]])</f>
        <v/>
      </c>
      <c r="V8" s="165" t="str">
        <f>IF(Table2[[#This Row],[Counter Number]]="","",Table1[[#This Row],[Engine Model Year:]])</f>
        <v/>
      </c>
      <c r="W8" s="60" t="str">
        <f>IF(Table2[[#This Row],[Counter Number]]="","","NA")</f>
        <v/>
      </c>
      <c r="X8" s="165" t="str">
        <f>IF(Table2[[#This Row],[Counter Number]]="","",Table1[[#This Row],[Engine Horsepower (HP):]])</f>
        <v/>
      </c>
      <c r="Y8" s="165" t="str">
        <f>IF(Table2[[#This Row],[Counter Number]]="","",Table1[[#This Row],[Engine Cylinder Displacement (L):]]&amp;" L")</f>
        <v/>
      </c>
      <c r="Z8" s="165" t="str">
        <f>IF(Table2[[#This Row],[Counter Number]]="","",Table1[[#This Row],[Engine Number of Cylinders:]])</f>
        <v/>
      </c>
      <c r="AA8" s="166" t="str">
        <f>IF(Table2[[#This Row],[Counter Number]]="","",Table1[[#This Row],[Engine Family Name:]])</f>
        <v/>
      </c>
      <c r="AB8" s="60" t="str">
        <f>IF(Table2[[#This Row],[Counter Number]]="","","ULSD")</f>
        <v/>
      </c>
      <c r="AC8" s="167" t="str">
        <f>IF(Table2[[#This Row],[Counter Number]]="","",Table2[[#This Row],[Annual Miles Traveled:]]/Table1[[#This Row],[Old Fuel (mpg)]])</f>
        <v/>
      </c>
      <c r="AD8" s="60" t="str">
        <f>IF(Table2[[#This Row],[Counter Number]]="","","NA")</f>
        <v/>
      </c>
      <c r="AE8" s="168" t="str">
        <f>IF(Table2[[#This Row],[Counter Number]]="","",Table1[[#This Row],[Annual Miles Traveled]])</f>
        <v/>
      </c>
      <c r="AF8" s="169" t="str">
        <f>IF(Table2[[#This Row],[Counter Number]]="","",Table1[[#This Row],[Annual Idling Hours:]])</f>
        <v/>
      </c>
      <c r="AG8" s="60" t="str">
        <f>IF(Table2[[#This Row],[Counter Number]]="","","NA")</f>
        <v/>
      </c>
      <c r="AH8" s="165" t="str">
        <f>IF(Table2[[#This Row],[Counter Number]]="","",IF(Application!$J$25="Set Policy",Table1[[#This Row],[Remaining Life (years)         Set Policy]],Table1[[#This Row],[Remaining Life (years)               Case-by-Case]]))</f>
        <v/>
      </c>
      <c r="AI8" s="165" t="str">
        <f>IF(Table2[[#This Row],[Counter Number]]="","",IF(Application!$J$25="Case-by-Case","NA",Table2[[#This Row],[Fiscal Year of EPA Funds Used:]]+Table2[[#This Row],[Remaining Life:]]))</f>
        <v/>
      </c>
      <c r="AJ8" s="165"/>
      <c r="AK8" s="170" t="str">
        <f>IF(Table2[[#This Row],[Counter Number]]="","",Application!$D$14+1)</f>
        <v/>
      </c>
      <c r="AL8" s="60" t="str">
        <f>IF(Table2[[#This Row],[Counter Number]]="","","Vehicle Replacement")</f>
        <v/>
      </c>
      <c r="AM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 s="171" t="str">
        <f>IF(Table2[[#This Row],[Counter Number]]="","",Table1[[#This Row],[Cost of New Bus:]])</f>
        <v/>
      </c>
      <c r="AO8" s="60" t="str">
        <f>IF(Table2[[#This Row],[Counter Number]]="","","NA")</f>
        <v/>
      </c>
      <c r="AP8" s="165" t="str">
        <f>IF(Table2[[#This Row],[Counter Number]]="","",Table1[[#This Row],[New Engine Model Year:]])</f>
        <v/>
      </c>
      <c r="AQ8" s="60" t="str">
        <f>IF(Table2[[#This Row],[Counter Number]]="","","NA")</f>
        <v/>
      </c>
      <c r="AR8" s="165" t="str">
        <f>IF(Table2[[#This Row],[Counter Number]]="","",Table1[[#This Row],[New Engine Horsepower (HP):]])</f>
        <v/>
      </c>
      <c r="AS8" s="60" t="str">
        <f>IF(Table2[[#This Row],[Counter Number]]="","","NA")</f>
        <v/>
      </c>
      <c r="AT8" s="165" t="str">
        <f>IF(Table2[[#This Row],[Counter Number]]="","",Table1[[#This Row],[New Engine Cylinder Displacement (L):]]&amp;" L")</f>
        <v/>
      </c>
      <c r="AU8" s="114" t="str">
        <f>IF(Table2[[#This Row],[Counter Number]]="","",Table1[[#This Row],[New Engine Number of Cylinders:]])</f>
        <v/>
      </c>
      <c r="AV8" s="60" t="str">
        <f>IF(Table2[[#This Row],[Counter Number]]="","",Table1[[#This Row],[New Engine Family Name:]])</f>
        <v/>
      </c>
      <c r="AW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 s="60" t="str">
        <f>IF(Table2[[#This Row],[Counter Number]]="","","NA")</f>
        <v/>
      </c>
      <c r="AY8" s="172" t="str">
        <f>IF(Table2[[#This Row],[Counter Number]]="","",IF(Table2[[#This Row],[New Engine Fuel Type:]]="ULSD",Table1[[#This Row],[Annual Miles Traveled]]/Table1[[#This Row],[New Fuel (mpg) if Diesel]],""))</f>
        <v/>
      </c>
      <c r="AZ8" s="60"/>
      <c r="BA8" s="173" t="str">
        <f>IF(Table2[[#This Row],[Counter Number]]="","",Table2[[#This Row],[Annual Miles Traveled:]]*VLOOKUP(Table2[[#This Row],[Engine Model Year:]],EFTable[],3,FALSE))</f>
        <v/>
      </c>
      <c r="BB8" s="173" t="str">
        <f>IF(Table2[[#This Row],[Counter Number]]="","",Table2[[#This Row],[Annual Miles Traveled:]]*IF(Table2[[#This Row],[New Engine Fuel Type:]]="ULSD",VLOOKUP(Table2[[#This Row],[New Engine Model Year:]],EFTable[],3,FALSE),VLOOKUP(Table2[[#This Row],[New Engine Fuel Type:]],EFTable[],3,FALSE)))</f>
        <v/>
      </c>
      <c r="BC8" s="173" t="str">
        <f>IF(Table2[[#This Row],[Counter Number]]="","",Table2[[#This Row],[Old Bus NOx Emissions (tons/yr)]]-Table2[[#This Row],[New Bus NOx Emissions (tons/yr)]])</f>
        <v/>
      </c>
      <c r="BD8" s="174" t="str">
        <f>IF(Table2[[#This Row],[Counter Number]]="","",Table2[[#This Row],[Reduction Bus NOx Emissions (tons/yr)]]/Table2[[#This Row],[Old Bus NOx Emissions (tons/yr)]])</f>
        <v/>
      </c>
      <c r="BE8" s="175" t="str">
        <f>IF(Table2[[#This Row],[Counter Number]]="","",Table2[[#This Row],[Reduction Bus NOx Emissions (tons/yr)]]*Table2[[#This Row],[Remaining Life:]])</f>
        <v/>
      </c>
      <c r="BF8" s="176" t="str">
        <f>IF(Table2[[#This Row],[Counter Number]]="","",IF(Table2[[#This Row],[Lifetime NOx Reduction (tons)]]=0,"NA",Table2[[#This Row],[Upgrade Cost Per Unit]]/Table2[[#This Row],[Lifetime NOx Reduction (tons)]]))</f>
        <v/>
      </c>
      <c r="BG8" s="177" t="str">
        <f>IF(Table2[[#This Row],[Counter Number]]="","",Table2[[#This Row],[Annual Miles Traveled:]]*VLOOKUP(Table2[[#This Row],[Engine Model Year:]],EF!$A$2:$G$27,4,FALSE))</f>
        <v/>
      </c>
      <c r="BH8" s="173" t="str">
        <f>IF(Table2[[#This Row],[Counter Number]]="","",Table2[[#This Row],[Annual Miles Traveled:]]*IF(Table2[[#This Row],[New Engine Fuel Type:]]="ULSD",VLOOKUP(Table2[[#This Row],[New Engine Model Year:]],EFTable[],4,FALSE),VLOOKUP(Table2[[#This Row],[New Engine Fuel Type:]],EFTable[],4,FALSE)))</f>
        <v/>
      </c>
      <c r="BI8" s="178" t="str">
        <f>IF(Table2[[#This Row],[Counter Number]]="","",Table2[[#This Row],[Old Bus PM2.5 Emissions (tons/yr)]]-Table2[[#This Row],[New Bus PM2.5 Emissions (tons/yr)]])</f>
        <v/>
      </c>
      <c r="BJ8" s="185" t="str">
        <f>IF(Table2[[#This Row],[Counter Number]]="","",Table2[[#This Row],[Reduction Bus PM2.5 Emissions (tons/yr)]]/Table2[[#This Row],[Old Bus PM2.5 Emissions (tons/yr)]])</f>
        <v/>
      </c>
      <c r="BK8" s="175" t="str">
        <f>IF(Table2[[#This Row],[Counter Number]]="","",Table2[[#This Row],[Reduction Bus PM2.5 Emissions (tons/yr)]]*Table2[[#This Row],[Remaining Life:]])</f>
        <v/>
      </c>
      <c r="BL8" s="186" t="str">
        <f>IF(Table2[[#This Row],[Counter Number]]="","",IF(Table2[[#This Row],[Lifetime PM2.5 Reduction (tons)]]=0,"NA",Table2[[#This Row],[Upgrade Cost Per Unit]]/Table2[[#This Row],[Lifetime PM2.5 Reduction (tons)]]))</f>
        <v/>
      </c>
      <c r="BM8" s="179" t="str">
        <f>IF(Table2[[#This Row],[Counter Number]]="","",Table2[[#This Row],[Annual Miles Traveled:]]*VLOOKUP(Table2[[#This Row],[Engine Model Year:]],EF!$A$2:$G$40,5,FALSE))</f>
        <v/>
      </c>
      <c r="BN8" s="173" t="str">
        <f>IF(Table2[[#This Row],[Counter Number]]="","",Table2[[#This Row],[Annual Miles Traveled:]]*IF(Table2[[#This Row],[New Engine Fuel Type:]]="ULSD",VLOOKUP(Table2[[#This Row],[New Engine Model Year:]],EFTable[],5,FALSE),VLOOKUP(Table2[[#This Row],[New Engine Fuel Type:]],EFTable[],5,FALSE)))</f>
        <v/>
      </c>
      <c r="BO8" s="177" t="str">
        <f>IF(Table2[[#This Row],[Counter Number]]="","",Table2[[#This Row],[Old Bus HC Emissions (tons/yr)]]-Table2[[#This Row],[New Bus HC Emissions (tons/yr)]])</f>
        <v/>
      </c>
      <c r="BP8" s="174" t="str">
        <f>IF(Table2[[#This Row],[Counter Number]]="","",Table2[[#This Row],[Reduction Bus HC Emissions (tons/yr)]]/Table2[[#This Row],[Old Bus HC Emissions (tons/yr)]])</f>
        <v/>
      </c>
      <c r="BQ8" s="175" t="str">
        <f>IF(Table2[[#This Row],[Counter Number]]="","",Table2[[#This Row],[Reduction Bus HC Emissions (tons/yr)]]*Table2[[#This Row],[Remaining Life:]])</f>
        <v/>
      </c>
      <c r="BR8" s="186" t="str">
        <f>IF(Table2[[#This Row],[Counter Number]]="","",IF(Table2[[#This Row],[Lifetime HC Reduction (tons)]]=0,"NA",Table2[[#This Row],[Upgrade Cost Per Unit]]/Table2[[#This Row],[Lifetime HC Reduction (tons)]]))</f>
        <v/>
      </c>
      <c r="BS8" s="178" t="str">
        <f>IF(Table2[[#This Row],[Counter Number]]="","",Table2[[#This Row],[Annual Miles Traveled:]]*VLOOKUP(Table2[[#This Row],[Engine Model Year:]],EF!$A$2:$G$27,6,FALSE))</f>
        <v/>
      </c>
      <c r="BT8" s="173" t="str">
        <f>IF(Table2[[#This Row],[Counter Number]]="","",Table2[[#This Row],[Annual Miles Traveled:]]*IF(Table2[[#This Row],[New Engine Fuel Type:]]="ULSD",VLOOKUP(Table2[[#This Row],[New Engine Model Year:]],EFTable[],6,FALSE),VLOOKUP(Table2[[#This Row],[New Engine Fuel Type:]],EFTable[],6,FALSE)))</f>
        <v/>
      </c>
      <c r="BU8" s="177" t="str">
        <f>IF(Table2[[#This Row],[Counter Number]]="","",Table2[[#This Row],[Old Bus CO Emissions (tons/yr)]]-Table2[[#This Row],[New Bus CO Emissions (tons/yr)]])</f>
        <v/>
      </c>
      <c r="BV8" s="174" t="str">
        <f>IF(Table2[[#This Row],[Counter Number]]="","",Table2[[#This Row],[Reduction Bus CO Emissions (tons/yr)]]/Table2[[#This Row],[Old Bus CO Emissions (tons/yr)]])</f>
        <v/>
      </c>
      <c r="BW8" s="175" t="str">
        <f>IF(Table2[[#This Row],[Counter Number]]="","",Table2[[#This Row],[Reduction Bus CO Emissions (tons/yr)]]*Table2[[#This Row],[Remaining Life:]])</f>
        <v/>
      </c>
      <c r="BX8" s="186" t="str">
        <f>IF(Table2[[#This Row],[Counter Number]]="","",IF(Table2[[#This Row],[Lifetime CO Reduction (tons)]]=0,"NA",Table2[[#This Row],[Upgrade Cost Per Unit]]/Table2[[#This Row],[Lifetime CO Reduction (tons)]]))</f>
        <v/>
      </c>
      <c r="BY8" s="180" t="str">
        <f>IF(Table2[[#This Row],[Counter Number]]="","",Table2[[#This Row],[Old ULSD Used (gal):]]*VLOOKUP(Table2[[#This Row],[Engine Model Year:]],EF!$A$2:$G$27,7,FALSE))</f>
        <v/>
      </c>
      <c r="BZ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 s="181" t="str">
        <f>IF(Table2[[#This Row],[Counter Number]]="","",Table2[[#This Row],[Old Bus CO2 Emissions (tons/yr)]]-Table2[[#This Row],[New Bus CO2 Emissions (tons/yr)]])</f>
        <v/>
      </c>
      <c r="CB8" s="174" t="str">
        <f>IF(Table2[[#This Row],[Counter Number]]="","",Table2[[#This Row],[Reduction Bus CO2 Emissions (tons/yr)]]/Table2[[#This Row],[Old Bus CO2 Emissions (tons/yr)]])</f>
        <v/>
      </c>
      <c r="CC8" s="181" t="str">
        <f>IF(Table2[[#This Row],[Counter Number]]="","",Table2[[#This Row],[Reduction Bus CO2 Emissions (tons/yr)]]*Table2[[#This Row],[Remaining Life:]])</f>
        <v/>
      </c>
      <c r="CD8" s="186" t="str">
        <f>IF(Table2[[#This Row],[Counter Number]]="","",IF(Table2[[#This Row],[Lifetime CO2 Reduction (tons)]]=0,"NA",Table2[[#This Row],[Upgrade Cost Per Unit]]/Table2[[#This Row],[Lifetime CO2 Reduction (tons)]]))</f>
        <v/>
      </c>
      <c r="CE8" s="182" t="str">
        <f>IF(Table2[[#This Row],[Counter Number]]="","",IF(Table2[[#This Row],[New ULSD Used (gal):]]="",Table2[[#This Row],[Old ULSD Used (gal):]],Table2[[#This Row],[Old ULSD Used (gal):]]-Table2[[#This Row],[New ULSD Used (gal):]]))</f>
        <v/>
      </c>
      <c r="CF8" s="183" t="str">
        <f>IF(Table2[[#This Row],[Counter Number]]="","",Table2[[#This Row],[Diesel Fuel Reduction (gal/yr)]]/Table2[[#This Row],[Old ULSD Used (gal):]])</f>
        <v/>
      </c>
      <c r="CG8" s="182" t="str">
        <f>IF(Table2[[#This Row],[Counter Number]]="","",Table2[[#This Row],[Diesel Fuel Reduction (gal/yr)]]*Table2[[#This Row],[Remaining Life:]])</f>
        <v/>
      </c>
    </row>
    <row r="9" spans="1:85" s="61" customFormat="1" ht="15.45" customHeight="1">
      <c r="A9" s="184" t="str">
        <f>IF(A8&lt;Application!$D$24,A8+1,"")</f>
        <v/>
      </c>
      <c r="B9" s="60" t="str">
        <f>IF(Table2[[#This Row],[Counter Number]]="","",Application!$D$16)</f>
        <v/>
      </c>
      <c r="C9" s="60" t="str">
        <f>IF(Table2[[#This Row],[Counter Number]]="","",Application!$D$14)</f>
        <v/>
      </c>
      <c r="D9" s="60" t="str">
        <f>IF(Table2[[#This Row],[Counter Number]]="","",Table1[[#This Row],[Old Bus Number]])</f>
        <v/>
      </c>
      <c r="E9" s="60" t="str">
        <f>IF(Table2[[#This Row],[Counter Number]]="","",Application!$D$15)</f>
        <v/>
      </c>
      <c r="F9" s="60" t="str">
        <f>IF(Table2[[#This Row],[Counter Number]]="","","On Highway")</f>
        <v/>
      </c>
      <c r="G9" s="60" t="str">
        <f>IF(Table2[[#This Row],[Counter Number]]="","",I9)</f>
        <v/>
      </c>
      <c r="H9" s="60" t="str">
        <f>IF(Table2[[#This Row],[Counter Number]]="","","Georgia")</f>
        <v/>
      </c>
      <c r="I9" s="60" t="str">
        <f>IF(Table2[[#This Row],[Counter Number]]="","",Application!$D$16)</f>
        <v/>
      </c>
      <c r="J9" s="60" t="str">
        <f>IF(Table2[[#This Row],[Counter Number]]="","",Application!$D$21)</f>
        <v/>
      </c>
      <c r="K9" s="60" t="str">
        <f>IF(Table2[[#This Row],[Counter Number]]="","",Application!$J$21)</f>
        <v/>
      </c>
      <c r="L9" s="60" t="str">
        <f>IF(Table2[[#This Row],[Counter Number]]="","","School Bus")</f>
        <v/>
      </c>
      <c r="M9" s="60" t="str">
        <f>IF(Table2[[#This Row],[Counter Number]]="","","School Bus")</f>
        <v/>
      </c>
      <c r="N9" s="60" t="str">
        <f>IF(Table2[[#This Row],[Counter Number]]="","",1)</f>
        <v/>
      </c>
      <c r="O9" s="60" t="str">
        <f>IF(Table2[[#This Row],[Counter Number]]="","",Table1[[#This Row],[Vehicle Identification Number(s):]])</f>
        <v/>
      </c>
      <c r="P9" s="60" t="str">
        <f>IF(Table2[[#This Row],[Counter Number]]="","",Table1[[#This Row],[Old Bus Manufacturer:]])</f>
        <v/>
      </c>
      <c r="Q9" s="60" t="str">
        <f>IF(Table2[[#This Row],[Counter Number]]="","",Table1[[#This Row],[Vehicle Model:]])</f>
        <v/>
      </c>
      <c r="R9" s="165" t="str">
        <f>IF(Table2[[#This Row],[Counter Number]]="","",Table1[[#This Row],[Vehicle Model Year:]])</f>
        <v/>
      </c>
      <c r="S9" s="60" t="str">
        <f>IF(Table2[[#This Row],[Counter Number]]="","",Table1[[#This Row],[Engine Serial Number(s):]])</f>
        <v/>
      </c>
      <c r="T9" s="60" t="str">
        <f>IF(Table2[[#This Row],[Counter Number]]="","",Table1[[#This Row],[Engine Make:]])</f>
        <v/>
      </c>
      <c r="U9" s="60" t="str">
        <f>IF(Table2[[#This Row],[Counter Number]]="","",Table1[[#This Row],[Engine Model:]])</f>
        <v/>
      </c>
      <c r="V9" s="165" t="str">
        <f>IF(Table2[[#This Row],[Counter Number]]="","",Table1[[#This Row],[Engine Model Year:]])</f>
        <v/>
      </c>
      <c r="W9" s="60" t="str">
        <f>IF(Table2[[#This Row],[Counter Number]]="","","NA")</f>
        <v/>
      </c>
      <c r="X9" s="165" t="str">
        <f>IF(Table2[[#This Row],[Counter Number]]="","",Table1[[#This Row],[Engine Horsepower (HP):]])</f>
        <v/>
      </c>
      <c r="Y9" s="165" t="str">
        <f>IF(Table2[[#This Row],[Counter Number]]="","",Table1[[#This Row],[Engine Cylinder Displacement (L):]]&amp;" L")</f>
        <v/>
      </c>
      <c r="Z9" s="165" t="str">
        <f>IF(Table2[[#This Row],[Counter Number]]="","",Table1[[#This Row],[Engine Number of Cylinders:]])</f>
        <v/>
      </c>
      <c r="AA9" s="166" t="str">
        <f>IF(Table2[[#This Row],[Counter Number]]="","",Table1[[#This Row],[Engine Family Name:]])</f>
        <v/>
      </c>
      <c r="AB9" s="60" t="str">
        <f>IF(Table2[[#This Row],[Counter Number]]="","","ULSD")</f>
        <v/>
      </c>
      <c r="AC9" s="167" t="str">
        <f>IF(Table2[[#This Row],[Counter Number]]="","",Table2[[#This Row],[Annual Miles Traveled:]]/Table1[[#This Row],[Old Fuel (mpg)]])</f>
        <v/>
      </c>
      <c r="AD9" s="60" t="str">
        <f>IF(Table2[[#This Row],[Counter Number]]="","","NA")</f>
        <v/>
      </c>
      <c r="AE9" s="168" t="str">
        <f>IF(Table2[[#This Row],[Counter Number]]="","",Table1[[#This Row],[Annual Miles Traveled]])</f>
        <v/>
      </c>
      <c r="AF9" s="169" t="str">
        <f>IF(Table2[[#This Row],[Counter Number]]="","",Table1[[#This Row],[Annual Idling Hours:]])</f>
        <v/>
      </c>
      <c r="AG9" s="60" t="str">
        <f>IF(Table2[[#This Row],[Counter Number]]="","","NA")</f>
        <v/>
      </c>
      <c r="AH9" s="165" t="str">
        <f>IF(Table2[[#This Row],[Counter Number]]="","",IF(Application!$J$25="Set Policy",Table1[[#This Row],[Remaining Life (years)         Set Policy]],Table1[[#This Row],[Remaining Life (years)               Case-by-Case]]))</f>
        <v/>
      </c>
      <c r="AI9" s="165" t="str">
        <f>IF(Table2[[#This Row],[Counter Number]]="","",IF(Application!$J$25="Case-by-Case","NA",Table2[[#This Row],[Fiscal Year of EPA Funds Used:]]+Table2[[#This Row],[Remaining Life:]]))</f>
        <v/>
      </c>
      <c r="AJ9" s="165"/>
      <c r="AK9" s="170" t="str">
        <f>IF(Table2[[#This Row],[Counter Number]]="","",Application!$D$14+1)</f>
        <v/>
      </c>
      <c r="AL9" s="60" t="str">
        <f>IF(Table2[[#This Row],[Counter Number]]="","","Vehicle Replacement")</f>
        <v/>
      </c>
      <c r="AM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 s="171" t="str">
        <f>IF(Table2[[#This Row],[Counter Number]]="","",Table1[[#This Row],[Cost of New Bus:]])</f>
        <v/>
      </c>
      <c r="AO9" s="60" t="str">
        <f>IF(Table2[[#This Row],[Counter Number]]="","","NA")</f>
        <v/>
      </c>
      <c r="AP9" s="165" t="str">
        <f>IF(Table2[[#This Row],[Counter Number]]="","",Table1[[#This Row],[New Engine Model Year:]])</f>
        <v/>
      </c>
      <c r="AQ9" s="60" t="str">
        <f>IF(Table2[[#This Row],[Counter Number]]="","","NA")</f>
        <v/>
      </c>
      <c r="AR9" s="165" t="str">
        <f>IF(Table2[[#This Row],[Counter Number]]="","",Table1[[#This Row],[New Engine Horsepower (HP):]])</f>
        <v/>
      </c>
      <c r="AS9" s="60" t="str">
        <f>IF(Table2[[#This Row],[Counter Number]]="","","NA")</f>
        <v/>
      </c>
      <c r="AT9" s="165" t="str">
        <f>IF(Table2[[#This Row],[Counter Number]]="","",Table1[[#This Row],[New Engine Cylinder Displacement (L):]]&amp;" L")</f>
        <v/>
      </c>
      <c r="AU9" s="114" t="str">
        <f>IF(Table2[[#This Row],[Counter Number]]="","",Table1[[#This Row],[New Engine Number of Cylinders:]])</f>
        <v/>
      </c>
      <c r="AV9" s="60" t="str">
        <f>IF(Table2[[#This Row],[Counter Number]]="","",Table1[[#This Row],[New Engine Family Name:]])</f>
        <v/>
      </c>
      <c r="AW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 s="60" t="str">
        <f>IF(Table2[[#This Row],[Counter Number]]="","","NA")</f>
        <v/>
      </c>
      <c r="AY9" s="172" t="str">
        <f>IF(Table2[[#This Row],[Counter Number]]="","",IF(Table2[[#This Row],[New Engine Fuel Type:]]="ULSD",Table1[[#This Row],[Annual Miles Traveled]]/Table1[[#This Row],[New Fuel (mpg) if Diesel]],""))</f>
        <v/>
      </c>
      <c r="AZ9" s="60"/>
      <c r="BA9" s="173" t="str">
        <f>IF(Table2[[#This Row],[Counter Number]]="","",Table2[[#This Row],[Annual Miles Traveled:]]*VLOOKUP(Table2[[#This Row],[Engine Model Year:]],EFTable[],3,FALSE))</f>
        <v/>
      </c>
      <c r="BB9" s="173" t="str">
        <f>IF(Table2[[#This Row],[Counter Number]]="","",Table2[[#This Row],[Annual Miles Traveled:]]*IF(Table2[[#This Row],[New Engine Fuel Type:]]="ULSD",VLOOKUP(Table2[[#This Row],[New Engine Model Year:]],EFTable[],3,FALSE),VLOOKUP(Table2[[#This Row],[New Engine Fuel Type:]],EFTable[],3,FALSE)))</f>
        <v/>
      </c>
      <c r="BC9" s="173" t="str">
        <f>IF(Table2[[#This Row],[Counter Number]]="","",Table2[[#This Row],[Old Bus NOx Emissions (tons/yr)]]-Table2[[#This Row],[New Bus NOx Emissions (tons/yr)]])</f>
        <v/>
      </c>
      <c r="BD9" s="174" t="str">
        <f>IF(Table2[[#This Row],[Counter Number]]="","",Table2[[#This Row],[Reduction Bus NOx Emissions (tons/yr)]]/Table2[[#This Row],[Old Bus NOx Emissions (tons/yr)]])</f>
        <v/>
      </c>
      <c r="BE9" s="175" t="str">
        <f>IF(Table2[[#This Row],[Counter Number]]="","",Table2[[#This Row],[Reduction Bus NOx Emissions (tons/yr)]]*Table2[[#This Row],[Remaining Life:]])</f>
        <v/>
      </c>
      <c r="BF9" s="176" t="str">
        <f>IF(Table2[[#This Row],[Counter Number]]="","",IF(Table2[[#This Row],[Lifetime NOx Reduction (tons)]]=0,"NA",Table2[[#This Row],[Upgrade Cost Per Unit]]/Table2[[#This Row],[Lifetime NOx Reduction (tons)]]))</f>
        <v/>
      </c>
      <c r="BG9" s="177" t="str">
        <f>IF(Table2[[#This Row],[Counter Number]]="","",Table2[[#This Row],[Annual Miles Traveled:]]*VLOOKUP(Table2[[#This Row],[Engine Model Year:]],EF!$A$2:$G$27,4,FALSE))</f>
        <v/>
      </c>
      <c r="BH9" s="173" t="str">
        <f>IF(Table2[[#This Row],[Counter Number]]="","",Table2[[#This Row],[Annual Miles Traveled:]]*IF(Table2[[#This Row],[New Engine Fuel Type:]]="ULSD",VLOOKUP(Table2[[#This Row],[New Engine Model Year:]],EFTable[],4,FALSE),VLOOKUP(Table2[[#This Row],[New Engine Fuel Type:]],EFTable[],4,FALSE)))</f>
        <v/>
      </c>
      <c r="BI9" s="178" t="str">
        <f>IF(Table2[[#This Row],[Counter Number]]="","",Table2[[#This Row],[Old Bus PM2.5 Emissions (tons/yr)]]-Table2[[#This Row],[New Bus PM2.5 Emissions (tons/yr)]])</f>
        <v/>
      </c>
      <c r="BJ9" s="185" t="str">
        <f>IF(Table2[[#This Row],[Counter Number]]="","",Table2[[#This Row],[Reduction Bus PM2.5 Emissions (tons/yr)]]/Table2[[#This Row],[Old Bus PM2.5 Emissions (tons/yr)]])</f>
        <v/>
      </c>
      <c r="BK9" s="175" t="str">
        <f>IF(Table2[[#This Row],[Counter Number]]="","",Table2[[#This Row],[Reduction Bus PM2.5 Emissions (tons/yr)]]*Table2[[#This Row],[Remaining Life:]])</f>
        <v/>
      </c>
      <c r="BL9" s="186" t="str">
        <f>IF(Table2[[#This Row],[Counter Number]]="","",IF(Table2[[#This Row],[Lifetime PM2.5 Reduction (tons)]]=0,"NA",Table2[[#This Row],[Upgrade Cost Per Unit]]/Table2[[#This Row],[Lifetime PM2.5 Reduction (tons)]]))</f>
        <v/>
      </c>
      <c r="BM9" s="179" t="str">
        <f>IF(Table2[[#This Row],[Counter Number]]="","",Table2[[#This Row],[Annual Miles Traveled:]]*VLOOKUP(Table2[[#This Row],[Engine Model Year:]],EF!$A$2:$G$40,5,FALSE))</f>
        <v/>
      </c>
      <c r="BN9" s="173" t="str">
        <f>IF(Table2[[#This Row],[Counter Number]]="","",Table2[[#This Row],[Annual Miles Traveled:]]*IF(Table2[[#This Row],[New Engine Fuel Type:]]="ULSD",VLOOKUP(Table2[[#This Row],[New Engine Model Year:]],EFTable[],5,FALSE),VLOOKUP(Table2[[#This Row],[New Engine Fuel Type:]],EFTable[],5,FALSE)))</f>
        <v/>
      </c>
      <c r="BO9" s="177" t="str">
        <f>IF(Table2[[#This Row],[Counter Number]]="","",Table2[[#This Row],[Old Bus HC Emissions (tons/yr)]]-Table2[[#This Row],[New Bus HC Emissions (tons/yr)]])</f>
        <v/>
      </c>
      <c r="BP9" s="174" t="str">
        <f>IF(Table2[[#This Row],[Counter Number]]="","",Table2[[#This Row],[Reduction Bus HC Emissions (tons/yr)]]/Table2[[#This Row],[Old Bus HC Emissions (tons/yr)]])</f>
        <v/>
      </c>
      <c r="BQ9" s="175" t="str">
        <f>IF(Table2[[#This Row],[Counter Number]]="","",Table2[[#This Row],[Reduction Bus HC Emissions (tons/yr)]]*Table2[[#This Row],[Remaining Life:]])</f>
        <v/>
      </c>
      <c r="BR9" s="186" t="str">
        <f>IF(Table2[[#This Row],[Counter Number]]="","",IF(Table2[[#This Row],[Lifetime HC Reduction (tons)]]=0,"NA",Table2[[#This Row],[Upgrade Cost Per Unit]]/Table2[[#This Row],[Lifetime HC Reduction (tons)]]))</f>
        <v/>
      </c>
      <c r="BS9" s="178" t="str">
        <f>IF(Table2[[#This Row],[Counter Number]]="","",Table2[[#This Row],[Annual Miles Traveled:]]*VLOOKUP(Table2[[#This Row],[Engine Model Year:]],EF!$A$2:$G$27,6,FALSE))</f>
        <v/>
      </c>
      <c r="BT9" s="173" t="str">
        <f>IF(Table2[[#This Row],[Counter Number]]="","",Table2[[#This Row],[Annual Miles Traveled:]]*IF(Table2[[#This Row],[New Engine Fuel Type:]]="ULSD",VLOOKUP(Table2[[#This Row],[New Engine Model Year:]],EFTable[],6,FALSE),VLOOKUP(Table2[[#This Row],[New Engine Fuel Type:]],EFTable[],6,FALSE)))</f>
        <v/>
      </c>
      <c r="BU9" s="177" t="str">
        <f>IF(Table2[[#This Row],[Counter Number]]="","",Table2[[#This Row],[Old Bus CO Emissions (tons/yr)]]-Table2[[#This Row],[New Bus CO Emissions (tons/yr)]])</f>
        <v/>
      </c>
      <c r="BV9" s="174" t="str">
        <f>IF(Table2[[#This Row],[Counter Number]]="","",Table2[[#This Row],[Reduction Bus CO Emissions (tons/yr)]]/Table2[[#This Row],[Old Bus CO Emissions (tons/yr)]])</f>
        <v/>
      </c>
      <c r="BW9" s="175" t="str">
        <f>IF(Table2[[#This Row],[Counter Number]]="","",Table2[[#This Row],[Reduction Bus CO Emissions (tons/yr)]]*Table2[[#This Row],[Remaining Life:]])</f>
        <v/>
      </c>
      <c r="BX9" s="186" t="str">
        <f>IF(Table2[[#This Row],[Counter Number]]="","",IF(Table2[[#This Row],[Lifetime CO Reduction (tons)]]=0,"NA",Table2[[#This Row],[Upgrade Cost Per Unit]]/Table2[[#This Row],[Lifetime CO Reduction (tons)]]))</f>
        <v/>
      </c>
      <c r="BY9" s="180" t="str">
        <f>IF(Table2[[#This Row],[Counter Number]]="","",Table2[[#This Row],[Old ULSD Used (gal):]]*VLOOKUP(Table2[[#This Row],[Engine Model Year:]],EF!$A$2:$G$27,7,FALSE))</f>
        <v/>
      </c>
      <c r="BZ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 s="181" t="str">
        <f>IF(Table2[[#This Row],[Counter Number]]="","",Table2[[#This Row],[Old Bus CO2 Emissions (tons/yr)]]-Table2[[#This Row],[New Bus CO2 Emissions (tons/yr)]])</f>
        <v/>
      </c>
      <c r="CB9" s="174" t="str">
        <f>IF(Table2[[#This Row],[Counter Number]]="","",Table2[[#This Row],[Reduction Bus CO2 Emissions (tons/yr)]]/Table2[[#This Row],[Old Bus CO2 Emissions (tons/yr)]])</f>
        <v/>
      </c>
      <c r="CC9" s="181" t="str">
        <f>IF(Table2[[#This Row],[Counter Number]]="","",Table2[[#This Row],[Reduction Bus CO2 Emissions (tons/yr)]]*Table2[[#This Row],[Remaining Life:]])</f>
        <v/>
      </c>
      <c r="CD9" s="186" t="str">
        <f>IF(Table2[[#This Row],[Counter Number]]="","",IF(Table2[[#This Row],[Lifetime CO2 Reduction (tons)]]=0,"NA",Table2[[#This Row],[Upgrade Cost Per Unit]]/Table2[[#This Row],[Lifetime CO2 Reduction (tons)]]))</f>
        <v/>
      </c>
      <c r="CE9" s="182" t="str">
        <f>IF(Table2[[#This Row],[Counter Number]]="","",IF(Table2[[#This Row],[New ULSD Used (gal):]]="",Table2[[#This Row],[Old ULSD Used (gal):]],Table2[[#This Row],[Old ULSD Used (gal):]]-Table2[[#This Row],[New ULSD Used (gal):]]))</f>
        <v/>
      </c>
      <c r="CF9" s="183" t="str">
        <f>IF(Table2[[#This Row],[Counter Number]]="","",Table2[[#This Row],[Diesel Fuel Reduction (gal/yr)]]/Table2[[#This Row],[Old ULSD Used (gal):]])</f>
        <v/>
      </c>
      <c r="CG9" s="182" t="str">
        <f>IF(Table2[[#This Row],[Counter Number]]="","",Table2[[#This Row],[Diesel Fuel Reduction (gal/yr)]]*Table2[[#This Row],[Remaining Life:]])</f>
        <v/>
      </c>
    </row>
    <row r="10" spans="1:85" s="61" customFormat="1" ht="15.45" customHeight="1">
      <c r="A10" s="184" t="str">
        <f>IF(A9&lt;Application!$D$24,A9+1,"")</f>
        <v/>
      </c>
      <c r="B10" s="60" t="str">
        <f>IF(Table2[[#This Row],[Counter Number]]="","",Application!$D$16)</f>
        <v/>
      </c>
      <c r="C10" s="60" t="str">
        <f>IF(Table2[[#This Row],[Counter Number]]="","",Application!$D$14)</f>
        <v/>
      </c>
      <c r="D10" s="60" t="str">
        <f>IF(Table2[[#This Row],[Counter Number]]="","",Table1[[#This Row],[Old Bus Number]])</f>
        <v/>
      </c>
      <c r="E10" s="60" t="str">
        <f>IF(Table2[[#This Row],[Counter Number]]="","",Application!$D$15)</f>
        <v/>
      </c>
      <c r="F10" s="60" t="str">
        <f>IF(Table2[[#This Row],[Counter Number]]="","","On Highway")</f>
        <v/>
      </c>
      <c r="G10" s="60" t="str">
        <f>IF(Table2[[#This Row],[Counter Number]]="","",I10)</f>
        <v/>
      </c>
      <c r="H10" s="60" t="str">
        <f>IF(Table2[[#This Row],[Counter Number]]="","","Georgia")</f>
        <v/>
      </c>
      <c r="I10" s="60" t="str">
        <f>IF(Table2[[#This Row],[Counter Number]]="","",Application!$D$16)</f>
        <v/>
      </c>
      <c r="J10" s="60" t="str">
        <f>IF(Table2[[#This Row],[Counter Number]]="","",Application!$D$21)</f>
        <v/>
      </c>
      <c r="K10" s="60" t="str">
        <f>IF(Table2[[#This Row],[Counter Number]]="","",Application!$J$21)</f>
        <v/>
      </c>
      <c r="L10" s="60" t="str">
        <f>IF(Table2[[#This Row],[Counter Number]]="","","School Bus")</f>
        <v/>
      </c>
      <c r="M10" s="60" t="str">
        <f>IF(Table2[[#This Row],[Counter Number]]="","","School Bus")</f>
        <v/>
      </c>
      <c r="N10" s="60" t="str">
        <f>IF(Table2[[#This Row],[Counter Number]]="","",1)</f>
        <v/>
      </c>
      <c r="O10" s="60" t="str">
        <f>IF(Table2[[#This Row],[Counter Number]]="","",Table1[[#This Row],[Vehicle Identification Number(s):]])</f>
        <v/>
      </c>
      <c r="P10" s="60" t="str">
        <f>IF(Table2[[#This Row],[Counter Number]]="","",Table1[[#This Row],[Old Bus Manufacturer:]])</f>
        <v/>
      </c>
      <c r="Q10" s="60" t="str">
        <f>IF(Table2[[#This Row],[Counter Number]]="","",Table1[[#This Row],[Vehicle Model:]])</f>
        <v/>
      </c>
      <c r="R10" s="165" t="str">
        <f>IF(Table2[[#This Row],[Counter Number]]="","",Table1[[#This Row],[Vehicle Model Year:]])</f>
        <v/>
      </c>
      <c r="S10" s="60" t="str">
        <f>IF(Table2[[#This Row],[Counter Number]]="","",Table1[[#This Row],[Engine Serial Number(s):]])</f>
        <v/>
      </c>
      <c r="T10" s="60" t="str">
        <f>IF(Table2[[#This Row],[Counter Number]]="","",Table1[[#This Row],[Engine Make:]])</f>
        <v/>
      </c>
      <c r="U10" s="60" t="str">
        <f>IF(Table2[[#This Row],[Counter Number]]="","",Table1[[#This Row],[Engine Model:]])</f>
        <v/>
      </c>
      <c r="V10" s="165" t="str">
        <f>IF(Table2[[#This Row],[Counter Number]]="","",Table1[[#This Row],[Engine Model Year:]])</f>
        <v/>
      </c>
      <c r="W10" s="60" t="str">
        <f>IF(Table2[[#This Row],[Counter Number]]="","","NA")</f>
        <v/>
      </c>
      <c r="X10" s="165" t="str">
        <f>IF(Table2[[#This Row],[Counter Number]]="","",Table1[[#This Row],[Engine Horsepower (HP):]])</f>
        <v/>
      </c>
      <c r="Y10" s="165" t="str">
        <f>IF(Table2[[#This Row],[Counter Number]]="","",Table1[[#This Row],[Engine Cylinder Displacement (L):]]&amp;" L")</f>
        <v/>
      </c>
      <c r="Z10" s="165" t="str">
        <f>IF(Table2[[#This Row],[Counter Number]]="","",Table1[[#This Row],[Engine Number of Cylinders:]])</f>
        <v/>
      </c>
      <c r="AA10" s="166" t="str">
        <f>IF(Table2[[#This Row],[Counter Number]]="","",Table1[[#This Row],[Engine Family Name:]])</f>
        <v/>
      </c>
      <c r="AB10" s="60" t="str">
        <f>IF(Table2[[#This Row],[Counter Number]]="","","ULSD")</f>
        <v/>
      </c>
      <c r="AC10" s="167" t="str">
        <f>IF(Table2[[#This Row],[Counter Number]]="","",Table2[[#This Row],[Annual Miles Traveled:]]/Table1[[#This Row],[Old Fuel (mpg)]])</f>
        <v/>
      </c>
      <c r="AD10" s="60" t="str">
        <f>IF(Table2[[#This Row],[Counter Number]]="","","NA")</f>
        <v/>
      </c>
      <c r="AE10" s="168" t="str">
        <f>IF(Table2[[#This Row],[Counter Number]]="","",Table1[[#This Row],[Annual Miles Traveled]])</f>
        <v/>
      </c>
      <c r="AF10" s="169" t="str">
        <f>IF(Table2[[#This Row],[Counter Number]]="","",Table1[[#This Row],[Annual Idling Hours:]])</f>
        <v/>
      </c>
      <c r="AG10" s="60" t="str">
        <f>IF(Table2[[#This Row],[Counter Number]]="","","NA")</f>
        <v/>
      </c>
      <c r="AH10" s="165" t="str">
        <f>IF(Table2[[#This Row],[Counter Number]]="","",IF(Application!$J$25="Set Policy",Table1[[#This Row],[Remaining Life (years)         Set Policy]],Table1[[#This Row],[Remaining Life (years)               Case-by-Case]]))</f>
        <v/>
      </c>
      <c r="AI10" s="165" t="str">
        <f>IF(Table2[[#This Row],[Counter Number]]="","",IF(Application!$J$25="Case-by-Case","NA",Table2[[#This Row],[Fiscal Year of EPA Funds Used:]]+Table2[[#This Row],[Remaining Life:]]))</f>
        <v/>
      </c>
      <c r="AJ10" s="165"/>
      <c r="AK10" s="170" t="str">
        <f>IF(Table2[[#This Row],[Counter Number]]="","",Application!$D$14+1)</f>
        <v/>
      </c>
      <c r="AL10" s="60" t="str">
        <f>IF(Table2[[#This Row],[Counter Number]]="","","Vehicle Replacement")</f>
        <v/>
      </c>
      <c r="AM1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 s="171" t="str">
        <f>IF(Table2[[#This Row],[Counter Number]]="","",Table1[[#This Row],[Cost of New Bus:]])</f>
        <v/>
      </c>
      <c r="AO10" s="60" t="str">
        <f>IF(Table2[[#This Row],[Counter Number]]="","","NA")</f>
        <v/>
      </c>
      <c r="AP10" s="165" t="str">
        <f>IF(Table2[[#This Row],[Counter Number]]="","",Table1[[#This Row],[New Engine Model Year:]])</f>
        <v/>
      </c>
      <c r="AQ10" s="60" t="str">
        <f>IF(Table2[[#This Row],[Counter Number]]="","","NA")</f>
        <v/>
      </c>
      <c r="AR10" s="165" t="str">
        <f>IF(Table2[[#This Row],[Counter Number]]="","",Table1[[#This Row],[New Engine Horsepower (HP):]])</f>
        <v/>
      </c>
      <c r="AS10" s="60" t="str">
        <f>IF(Table2[[#This Row],[Counter Number]]="","","NA")</f>
        <v/>
      </c>
      <c r="AT10" s="165" t="str">
        <f>IF(Table2[[#This Row],[Counter Number]]="","",Table1[[#This Row],[New Engine Cylinder Displacement (L):]]&amp;" L")</f>
        <v/>
      </c>
      <c r="AU10" s="114" t="str">
        <f>IF(Table2[[#This Row],[Counter Number]]="","",Table1[[#This Row],[New Engine Number of Cylinders:]])</f>
        <v/>
      </c>
      <c r="AV10" s="60" t="str">
        <f>IF(Table2[[#This Row],[Counter Number]]="","",Table1[[#This Row],[New Engine Family Name:]])</f>
        <v/>
      </c>
      <c r="AW1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 s="60" t="str">
        <f>IF(Table2[[#This Row],[Counter Number]]="","","NA")</f>
        <v/>
      </c>
      <c r="AY10" s="172" t="str">
        <f>IF(Table2[[#This Row],[Counter Number]]="","",IF(Table2[[#This Row],[New Engine Fuel Type:]]="ULSD",Table1[[#This Row],[Annual Miles Traveled]]/Table1[[#This Row],[New Fuel (mpg) if Diesel]],""))</f>
        <v/>
      </c>
      <c r="AZ10" s="60"/>
      <c r="BA10" s="173" t="str">
        <f>IF(Table2[[#This Row],[Counter Number]]="","",Table2[[#This Row],[Annual Miles Traveled:]]*VLOOKUP(Table2[[#This Row],[Engine Model Year:]],EFTable[],3,FALSE))</f>
        <v/>
      </c>
      <c r="BB10" s="173" t="str">
        <f>IF(Table2[[#This Row],[Counter Number]]="","",Table2[[#This Row],[Annual Miles Traveled:]]*IF(Table2[[#This Row],[New Engine Fuel Type:]]="ULSD",VLOOKUP(Table2[[#This Row],[New Engine Model Year:]],EFTable[],3,FALSE),VLOOKUP(Table2[[#This Row],[New Engine Fuel Type:]],EFTable[],3,FALSE)))</f>
        <v/>
      </c>
      <c r="BC10" s="173" t="str">
        <f>IF(Table2[[#This Row],[Counter Number]]="","",Table2[[#This Row],[Old Bus NOx Emissions (tons/yr)]]-Table2[[#This Row],[New Bus NOx Emissions (tons/yr)]])</f>
        <v/>
      </c>
      <c r="BD10" s="174" t="str">
        <f>IF(Table2[[#This Row],[Counter Number]]="","",Table2[[#This Row],[Reduction Bus NOx Emissions (tons/yr)]]/Table2[[#This Row],[Old Bus NOx Emissions (tons/yr)]])</f>
        <v/>
      </c>
      <c r="BE10" s="175" t="str">
        <f>IF(Table2[[#This Row],[Counter Number]]="","",Table2[[#This Row],[Reduction Bus NOx Emissions (tons/yr)]]*Table2[[#This Row],[Remaining Life:]])</f>
        <v/>
      </c>
      <c r="BF10" s="176" t="str">
        <f>IF(Table2[[#This Row],[Counter Number]]="","",IF(Table2[[#This Row],[Lifetime NOx Reduction (tons)]]=0,"NA",Table2[[#This Row],[Upgrade Cost Per Unit]]/Table2[[#This Row],[Lifetime NOx Reduction (tons)]]))</f>
        <v/>
      </c>
      <c r="BG10" s="177" t="str">
        <f>IF(Table2[[#This Row],[Counter Number]]="","",Table2[[#This Row],[Annual Miles Traveled:]]*VLOOKUP(Table2[[#This Row],[Engine Model Year:]],EF!$A$2:$G$27,4,FALSE))</f>
        <v/>
      </c>
      <c r="BH10" s="173" t="str">
        <f>IF(Table2[[#This Row],[Counter Number]]="","",Table2[[#This Row],[Annual Miles Traveled:]]*IF(Table2[[#This Row],[New Engine Fuel Type:]]="ULSD",VLOOKUP(Table2[[#This Row],[New Engine Model Year:]],EFTable[],4,FALSE),VLOOKUP(Table2[[#This Row],[New Engine Fuel Type:]],EFTable[],4,FALSE)))</f>
        <v/>
      </c>
      <c r="BI10" s="178" t="str">
        <f>IF(Table2[[#This Row],[Counter Number]]="","",Table2[[#This Row],[Old Bus PM2.5 Emissions (tons/yr)]]-Table2[[#This Row],[New Bus PM2.5 Emissions (tons/yr)]])</f>
        <v/>
      </c>
      <c r="BJ10" s="185" t="str">
        <f>IF(Table2[[#This Row],[Counter Number]]="","",Table2[[#This Row],[Reduction Bus PM2.5 Emissions (tons/yr)]]/Table2[[#This Row],[Old Bus PM2.5 Emissions (tons/yr)]])</f>
        <v/>
      </c>
      <c r="BK10" s="175" t="str">
        <f>IF(Table2[[#This Row],[Counter Number]]="","",Table2[[#This Row],[Reduction Bus PM2.5 Emissions (tons/yr)]]*Table2[[#This Row],[Remaining Life:]])</f>
        <v/>
      </c>
      <c r="BL10" s="186" t="str">
        <f>IF(Table2[[#This Row],[Counter Number]]="","",IF(Table2[[#This Row],[Lifetime PM2.5 Reduction (tons)]]=0,"NA",Table2[[#This Row],[Upgrade Cost Per Unit]]/Table2[[#This Row],[Lifetime PM2.5 Reduction (tons)]]))</f>
        <v/>
      </c>
      <c r="BM10" s="179" t="str">
        <f>IF(Table2[[#This Row],[Counter Number]]="","",Table2[[#This Row],[Annual Miles Traveled:]]*VLOOKUP(Table2[[#This Row],[Engine Model Year:]],EF!$A$2:$G$40,5,FALSE))</f>
        <v/>
      </c>
      <c r="BN10" s="173" t="str">
        <f>IF(Table2[[#This Row],[Counter Number]]="","",Table2[[#This Row],[Annual Miles Traveled:]]*IF(Table2[[#This Row],[New Engine Fuel Type:]]="ULSD",VLOOKUP(Table2[[#This Row],[New Engine Model Year:]],EFTable[],5,FALSE),VLOOKUP(Table2[[#This Row],[New Engine Fuel Type:]],EFTable[],5,FALSE)))</f>
        <v/>
      </c>
      <c r="BO10" s="177" t="str">
        <f>IF(Table2[[#This Row],[Counter Number]]="","",Table2[[#This Row],[Old Bus HC Emissions (tons/yr)]]-Table2[[#This Row],[New Bus HC Emissions (tons/yr)]])</f>
        <v/>
      </c>
      <c r="BP10" s="174" t="str">
        <f>IF(Table2[[#This Row],[Counter Number]]="","",Table2[[#This Row],[Reduction Bus HC Emissions (tons/yr)]]/Table2[[#This Row],[Old Bus HC Emissions (tons/yr)]])</f>
        <v/>
      </c>
      <c r="BQ10" s="175" t="str">
        <f>IF(Table2[[#This Row],[Counter Number]]="","",Table2[[#This Row],[Reduction Bus HC Emissions (tons/yr)]]*Table2[[#This Row],[Remaining Life:]])</f>
        <v/>
      </c>
      <c r="BR10" s="186" t="str">
        <f>IF(Table2[[#This Row],[Counter Number]]="","",IF(Table2[[#This Row],[Lifetime HC Reduction (tons)]]=0,"NA",Table2[[#This Row],[Upgrade Cost Per Unit]]/Table2[[#This Row],[Lifetime HC Reduction (tons)]]))</f>
        <v/>
      </c>
      <c r="BS10" s="178" t="str">
        <f>IF(Table2[[#This Row],[Counter Number]]="","",Table2[[#This Row],[Annual Miles Traveled:]]*VLOOKUP(Table2[[#This Row],[Engine Model Year:]],EF!$A$2:$G$27,6,FALSE))</f>
        <v/>
      </c>
      <c r="BT10" s="173" t="str">
        <f>IF(Table2[[#This Row],[Counter Number]]="","",Table2[[#This Row],[Annual Miles Traveled:]]*IF(Table2[[#This Row],[New Engine Fuel Type:]]="ULSD",VLOOKUP(Table2[[#This Row],[New Engine Model Year:]],EFTable[],6,FALSE),VLOOKUP(Table2[[#This Row],[New Engine Fuel Type:]],EFTable[],6,FALSE)))</f>
        <v/>
      </c>
      <c r="BU10" s="177" t="str">
        <f>IF(Table2[[#This Row],[Counter Number]]="","",Table2[[#This Row],[Old Bus CO Emissions (tons/yr)]]-Table2[[#This Row],[New Bus CO Emissions (tons/yr)]])</f>
        <v/>
      </c>
      <c r="BV10" s="174" t="str">
        <f>IF(Table2[[#This Row],[Counter Number]]="","",Table2[[#This Row],[Reduction Bus CO Emissions (tons/yr)]]/Table2[[#This Row],[Old Bus CO Emissions (tons/yr)]])</f>
        <v/>
      </c>
      <c r="BW10" s="175" t="str">
        <f>IF(Table2[[#This Row],[Counter Number]]="","",Table2[[#This Row],[Reduction Bus CO Emissions (tons/yr)]]*Table2[[#This Row],[Remaining Life:]])</f>
        <v/>
      </c>
      <c r="BX10" s="186" t="str">
        <f>IF(Table2[[#This Row],[Counter Number]]="","",IF(Table2[[#This Row],[Lifetime CO Reduction (tons)]]=0,"NA",Table2[[#This Row],[Upgrade Cost Per Unit]]/Table2[[#This Row],[Lifetime CO Reduction (tons)]]))</f>
        <v/>
      </c>
      <c r="BY10" s="180" t="str">
        <f>IF(Table2[[#This Row],[Counter Number]]="","",Table2[[#This Row],[Old ULSD Used (gal):]]*VLOOKUP(Table2[[#This Row],[Engine Model Year:]],EF!$A$2:$G$27,7,FALSE))</f>
        <v/>
      </c>
      <c r="BZ1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 s="181" t="str">
        <f>IF(Table2[[#This Row],[Counter Number]]="","",Table2[[#This Row],[Old Bus CO2 Emissions (tons/yr)]]-Table2[[#This Row],[New Bus CO2 Emissions (tons/yr)]])</f>
        <v/>
      </c>
      <c r="CB10" s="174" t="str">
        <f>IF(Table2[[#This Row],[Counter Number]]="","",Table2[[#This Row],[Reduction Bus CO2 Emissions (tons/yr)]]/Table2[[#This Row],[Old Bus CO2 Emissions (tons/yr)]])</f>
        <v/>
      </c>
      <c r="CC10" s="181" t="str">
        <f>IF(Table2[[#This Row],[Counter Number]]="","",Table2[[#This Row],[Reduction Bus CO2 Emissions (tons/yr)]]*Table2[[#This Row],[Remaining Life:]])</f>
        <v/>
      </c>
      <c r="CD10" s="186" t="str">
        <f>IF(Table2[[#This Row],[Counter Number]]="","",IF(Table2[[#This Row],[Lifetime CO2 Reduction (tons)]]=0,"NA",Table2[[#This Row],[Upgrade Cost Per Unit]]/Table2[[#This Row],[Lifetime CO2 Reduction (tons)]]))</f>
        <v/>
      </c>
      <c r="CE10" s="182" t="str">
        <f>IF(Table2[[#This Row],[Counter Number]]="","",IF(Table2[[#This Row],[New ULSD Used (gal):]]="",Table2[[#This Row],[Old ULSD Used (gal):]],Table2[[#This Row],[Old ULSD Used (gal):]]-Table2[[#This Row],[New ULSD Used (gal):]]))</f>
        <v/>
      </c>
      <c r="CF10" s="183" t="str">
        <f>IF(Table2[[#This Row],[Counter Number]]="","",Table2[[#This Row],[Diesel Fuel Reduction (gal/yr)]]/Table2[[#This Row],[Old ULSD Used (gal):]])</f>
        <v/>
      </c>
      <c r="CG10" s="182" t="str">
        <f>IF(Table2[[#This Row],[Counter Number]]="","",Table2[[#This Row],[Diesel Fuel Reduction (gal/yr)]]*Table2[[#This Row],[Remaining Life:]])</f>
        <v/>
      </c>
    </row>
    <row r="11" spans="1:85" s="61" customFormat="1" ht="15.45" customHeight="1">
      <c r="A11" s="184" t="str">
        <f>IF(A10&lt;Application!$D$24,A10+1,"")</f>
        <v/>
      </c>
      <c r="B11" s="60" t="str">
        <f>IF(Table2[[#This Row],[Counter Number]]="","",Application!$D$16)</f>
        <v/>
      </c>
      <c r="C11" s="60" t="str">
        <f>IF(Table2[[#This Row],[Counter Number]]="","",Application!$D$14)</f>
        <v/>
      </c>
      <c r="D11" s="60" t="str">
        <f>IF(Table2[[#This Row],[Counter Number]]="","",Table1[[#This Row],[Old Bus Number]])</f>
        <v/>
      </c>
      <c r="E11" s="60" t="str">
        <f>IF(Table2[[#This Row],[Counter Number]]="","",Application!$D$15)</f>
        <v/>
      </c>
      <c r="F11" s="60" t="str">
        <f>IF(Table2[[#This Row],[Counter Number]]="","","On Highway")</f>
        <v/>
      </c>
      <c r="G11" s="60" t="str">
        <f>IF(Table2[[#This Row],[Counter Number]]="","",I11)</f>
        <v/>
      </c>
      <c r="H11" s="60" t="str">
        <f>IF(Table2[[#This Row],[Counter Number]]="","","Georgia")</f>
        <v/>
      </c>
      <c r="I11" s="60" t="str">
        <f>IF(Table2[[#This Row],[Counter Number]]="","",Application!$D$16)</f>
        <v/>
      </c>
      <c r="J11" s="60" t="str">
        <f>IF(Table2[[#This Row],[Counter Number]]="","",Application!$D$21)</f>
        <v/>
      </c>
      <c r="K11" s="60" t="str">
        <f>IF(Table2[[#This Row],[Counter Number]]="","",Application!$J$21)</f>
        <v/>
      </c>
      <c r="L11" s="60" t="str">
        <f>IF(Table2[[#This Row],[Counter Number]]="","","School Bus")</f>
        <v/>
      </c>
      <c r="M11" s="60" t="str">
        <f>IF(Table2[[#This Row],[Counter Number]]="","","School Bus")</f>
        <v/>
      </c>
      <c r="N11" s="60" t="str">
        <f>IF(Table2[[#This Row],[Counter Number]]="","",1)</f>
        <v/>
      </c>
      <c r="O11" s="60" t="str">
        <f>IF(Table2[[#This Row],[Counter Number]]="","",Table1[[#This Row],[Vehicle Identification Number(s):]])</f>
        <v/>
      </c>
      <c r="P11" s="60" t="str">
        <f>IF(Table2[[#This Row],[Counter Number]]="","",Table1[[#This Row],[Old Bus Manufacturer:]])</f>
        <v/>
      </c>
      <c r="Q11" s="60" t="str">
        <f>IF(Table2[[#This Row],[Counter Number]]="","",Table1[[#This Row],[Vehicle Model:]])</f>
        <v/>
      </c>
      <c r="R11" s="165" t="str">
        <f>IF(Table2[[#This Row],[Counter Number]]="","",Table1[[#This Row],[Vehicle Model Year:]])</f>
        <v/>
      </c>
      <c r="S11" s="60" t="str">
        <f>IF(Table2[[#This Row],[Counter Number]]="","",Table1[[#This Row],[Engine Serial Number(s):]])</f>
        <v/>
      </c>
      <c r="T11" s="60" t="str">
        <f>IF(Table2[[#This Row],[Counter Number]]="","",Table1[[#This Row],[Engine Make:]])</f>
        <v/>
      </c>
      <c r="U11" s="60" t="str">
        <f>IF(Table2[[#This Row],[Counter Number]]="","",Table1[[#This Row],[Engine Model:]])</f>
        <v/>
      </c>
      <c r="V11" s="165" t="str">
        <f>IF(Table2[[#This Row],[Counter Number]]="","",Table1[[#This Row],[Engine Model Year:]])</f>
        <v/>
      </c>
      <c r="W11" s="60" t="str">
        <f>IF(Table2[[#This Row],[Counter Number]]="","","NA")</f>
        <v/>
      </c>
      <c r="X11" s="165" t="str">
        <f>IF(Table2[[#This Row],[Counter Number]]="","",Table1[[#This Row],[Engine Horsepower (HP):]])</f>
        <v/>
      </c>
      <c r="Y11" s="165" t="str">
        <f>IF(Table2[[#This Row],[Counter Number]]="","",Table1[[#This Row],[Engine Cylinder Displacement (L):]]&amp;" L")</f>
        <v/>
      </c>
      <c r="Z11" s="165" t="str">
        <f>IF(Table2[[#This Row],[Counter Number]]="","",Table1[[#This Row],[Engine Number of Cylinders:]])</f>
        <v/>
      </c>
      <c r="AA11" s="166" t="str">
        <f>IF(Table2[[#This Row],[Counter Number]]="","",Table1[[#This Row],[Engine Family Name:]])</f>
        <v/>
      </c>
      <c r="AB11" s="60" t="str">
        <f>IF(Table2[[#This Row],[Counter Number]]="","","ULSD")</f>
        <v/>
      </c>
      <c r="AC11" s="167" t="str">
        <f>IF(Table2[[#This Row],[Counter Number]]="","",Table2[[#This Row],[Annual Miles Traveled:]]/Table1[[#This Row],[Old Fuel (mpg)]])</f>
        <v/>
      </c>
      <c r="AD11" s="60" t="str">
        <f>IF(Table2[[#This Row],[Counter Number]]="","","NA")</f>
        <v/>
      </c>
      <c r="AE11" s="168" t="str">
        <f>IF(Table2[[#This Row],[Counter Number]]="","",Table1[[#This Row],[Annual Miles Traveled]])</f>
        <v/>
      </c>
      <c r="AF11" s="169" t="str">
        <f>IF(Table2[[#This Row],[Counter Number]]="","",Table1[[#This Row],[Annual Idling Hours:]])</f>
        <v/>
      </c>
      <c r="AG11" s="60" t="str">
        <f>IF(Table2[[#This Row],[Counter Number]]="","","NA")</f>
        <v/>
      </c>
      <c r="AH11" s="165" t="str">
        <f>IF(Table2[[#This Row],[Counter Number]]="","",IF(Application!$J$25="Set Policy",Table1[[#This Row],[Remaining Life (years)         Set Policy]],Table1[[#This Row],[Remaining Life (years)               Case-by-Case]]))</f>
        <v/>
      </c>
      <c r="AI11" s="165" t="str">
        <f>IF(Table2[[#This Row],[Counter Number]]="","",IF(Application!$J$25="Case-by-Case","NA",Table2[[#This Row],[Fiscal Year of EPA Funds Used:]]+Table2[[#This Row],[Remaining Life:]]))</f>
        <v/>
      </c>
      <c r="AJ11" s="165"/>
      <c r="AK11" s="170" t="str">
        <f>IF(Table2[[#This Row],[Counter Number]]="","",Application!$D$14+1)</f>
        <v/>
      </c>
      <c r="AL11" s="60" t="str">
        <f>IF(Table2[[#This Row],[Counter Number]]="","","Vehicle Replacement")</f>
        <v/>
      </c>
      <c r="AM1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 s="171" t="str">
        <f>IF(Table2[[#This Row],[Counter Number]]="","",Table1[[#This Row],[Cost of New Bus:]])</f>
        <v/>
      </c>
      <c r="AO11" s="60" t="str">
        <f>IF(Table2[[#This Row],[Counter Number]]="","","NA")</f>
        <v/>
      </c>
      <c r="AP11" s="165" t="str">
        <f>IF(Table2[[#This Row],[Counter Number]]="","",Table1[[#This Row],[New Engine Model Year:]])</f>
        <v/>
      </c>
      <c r="AQ11" s="60" t="str">
        <f>IF(Table2[[#This Row],[Counter Number]]="","","NA")</f>
        <v/>
      </c>
      <c r="AR11" s="165" t="str">
        <f>IF(Table2[[#This Row],[Counter Number]]="","",Table1[[#This Row],[New Engine Horsepower (HP):]])</f>
        <v/>
      </c>
      <c r="AS11" s="60" t="str">
        <f>IF(Table2[[#This Row],[Counter Number]]="","","NA")</f>
        <v/>
      </c>
      <c r="AT11" s="165" t="str">
        <f>IF(Table2[[#This Row],[Counter Number]]="","",Table1[[#This Row],[New Engine Cylinder Displacement (L):]]&amp;" L")</f>
        <v/>
      </c>
      <c r="AU11" s="114" t="str">
        <f>IF(Table2[[#This Row],[Counter Number]]="","",Table1[[#This Row],[New Engine Number of Cylinders:]])</f>
        <v/>
      </c>
      <c r="AV11" s="60" t="str">
        <f>IF(Table2[[#This Row],[Counter Number]]="","",Table1[[#This Row],[New Engine Family Name:]])</f>
        <v/>
      </c>
      <c r="AW1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 s="60" t="str">
        <f>IF(Table2[[#This Row],[Counter Number]]="","","NA")</f>
        <v/>
      </c>
      <c r="AY11" s="172" t="str">
        <f>IF(Table2[[#This Row],[Counter Number]]="","",IF(Table2[[#This Row],[New Engine Fuel Type:]]="ULSD",Table1[[#This Row],[Annual Miles Traveled]]/Table1[[#This Row],[New Fuel (mpg) if Diesel]],""))</f>
        <v/>
      </c>
      <c r="AZ11" s="60"/>
      <c r="BA11" s="173" t="str">
        <f>IF(Table2[[#This Row],[Counter Number]]="","",Table2[[#This Row],[Annual Miles Traveled:]]*VLOOKUP(Table2[[#This Row],[Engine Model Year:]],EFTable[],3,FALSE))</f>
        <v/>
      </c>
      <c r="BB11" s="173" t="str">
        <f>IF(Table2[[#This Row],[Counter Number]]="","",Table2[[#This Row],[Annual Miles Traveled:]]*IF(Table2[[#This Row],[New Engine Fuel Type:]]="ULSD",VLOOKUP(Table2[[#This Row],[New Engine Model Year:]],EFTable[],3,FALSE),VLOOKUP(Table2[[#This Row],[New Engine Fuel Type:]],EFTable[],3,FALSE)))</f>
        <v/>
      </c>
      <c r="BC11" s="173" t="str">
        <f>IF(Table2[[#This Row],[Counter Number]]="","",Table2[[#This Row],[Old Bus NOx Emissions (tons/yr)]]-Table2[[#This Row],[New Bus NOx Emissions (tons/yr)]])</f>
        <v/>
      </c>
      <c r="BD11" s="174" t="str">
        <f>IF(Table2[[#This Row],[Counter Number]]="","",Table2[[#This Row],[Reduction Bus NOx Emissions (tons/yr)]]/Table2[[#This Row],[Old Bus NOx Emissions (tons/yr)]])</f>
        <v/>
      </c>
      <c r="BE11" s="175" t="str">
        <f>IF(Table2[[#This Row],[Counter Number]]="","",Table2[[#This Row],[Reduction Bus NOx Emissions (tons/yr)]]*Table2[[#This Row],[Remaining Life:]])</f>
        <v/>
      </c>
      <c r="BF11" s="176" t="str">
        <f>IF(Table2[[#This Row],[Counter Number]]="","",IF(Table2[[#This Row],[Lifetime NOx Reduction (tons)]]=0,"NA",Table2[[#This Row],[Upgrade Cost Per Unit]]/Table2[[#This Row],[Lifetime NOx Reduction (tons)]]))</f>
        <v/>
      </c>
      <c r="BG11" s="177" t="str">
        <f>IF(Table2[[#This Row],[Counter Number]]="","",Table2[[#This Row],[Annual Miles Traveled:]]*VLOOKUP(Table2[[#This Row],[Engine Model Year:]],EF!$A$2:$G$27,4,FALSE))</f>
        <v/>
      </c>
      <c r="BH11" s="173" t="str">
        <f>IF(Table2[[#This Row],[Counter Number]]="","",Table2[[#This Row],[Annual Miles Traveled:]]*IF(Table2[[#This Row],[New Engine Fuel Type:]]="ULSD",VLOOKUP(Table2[[#This Row],[New Engine Model Year:]],EFTable[],4,FALSE),VLOOKUP(Table2[[#This Row],[New Engine Fuel Type:]],EFTable[],4,FALSE)))</f>
        <v/>
      </c>
      <c r="BI11" s="178" t="str">
        <f>IF(Table2[[#This Row],[Counter Number]]="","",Table2[[#This Row],[Old Bus PM2.5 Emissions (tons/yr)]]-Table2[[#This Row],[New Bus PM2.5 Emissions (tons/yr)]])</f>
        <v/>
      </c>
      <c r="BJ11" s="185" t="str">
        <f>IF(Table2[[#This Row],[Counter Number]]="","",Table2[[#This Row],[Reduction Bus PM2.5 Emissions (tons/yr)]]/Table2[[#This Row],[Old Bus PM2.5 Emissions (tons/yr)]])</f>
        <v/>
      </c>
      <c r="BK11" s="175" t="str">
        <f>IF(Table2[[#This Row],[Counter Number]]="","",Table2[[#This Row],[Reduction Bus PM2.5 Emissions (tons/yr)]]*Table2[[#This Row],[Remaining Life:]])</f>
        <v/>
      </c>
      <c r="BL11" s="186" t="str">
        <f>IF(Table2[[#This Row],[Counter Number]]="","",IF(Table2[[#This Row],[Lifetime PM2.5 Reduction (tons)]]=0,"NA",Table2[[#This Row],[Upgrade Cost Per Unit]]/Table2[[#This Row],[Lifetime PM2.5 Reduction (tons)]]))</f>
        <v/>
      </c>
      <c r="BM11" s="179" t="str">
        <f>IF(Table2[[#This Row],[Counter Number]]="","",Table2[[#This Row],[Annual Miles Traveled:]]*VLOOKUP(Table2[[#This Row],[Engine Model Year:]],EF!$A$2:$G$40,5,FALSE))</f>
        <v/>
      </c>
      <c r="BN11" s="173" t="str">
        <f>IF(Table2[[#This Row],[Counter Number]]="","",Table2[[#This Row],[Annual Miles Traveled:]]*IF(Table2[[#This Row],[New Engine Fuel Type:]]="ULSD",VLOOKUP(Table2[[#This Row],[New Engine Model Year:]],EFTable[],5,FALSE),VLOOKUP(Table2[[#This Row],[New Engine Fuel Type:]],EFTable[],5,FALSE)))</f>
        <v/>
      </c>
      <c r="BO11" s="177" t="str">
        <f>IF(Table2[[#This Row],[Counter Number]]="","",Table2[[#This Row],[Old Bus HC Emissions (tons/yr)]]-Table2[[#This Row],[New Bus HC Emissions (tons/yr)]])</f>
        <v/>
      </c>
      <c r="BP11" s="174" t="str">
        <f>IF(Table2[[#This Row],[Counter Number]]="","",Table2[[#This Row],[Reduction Bus HC Emissions (tons/yr)]]/Table2[[#This Row],[Old Bus HC Emissions (tons/yr)]])</f>
        <v/>
      </c>
      <c r="BQ11" s="175" t="str">
        <f>IF(Table2[[#This Row],[Counter Number]]="","",Table2[[#This Row],[Reduction Bus HC Emissions (tons/yr)]]*Table2[[#This Row],[Remaining Life:]])</f>
        <v/>
      </c>
      <c r="BR11" s="186" t="str">
        <f>IF(Table2[[#This Row],[Counter Number]]="","",IF(Table2[[#This Row],[Lifetime HC Reduction (tons)]]=0,"NA",Table2[[#This Row],[Upgrade Cost Per Unit]]/Table2[[#This Row],[Lifetime HC Reduction (tons)]]))</f>
        <v/>
      </c>
      <c r="BS11" s="178" t="str">
        <f>IF(Table2[[#This Row],[Counter Number]]="","",Table2[[#This Row],[Annual Miles Traveled:]]*VLOOKUP(Table2[[#This Row],[Engine Model Year:]],EF!$A$2:$G$27,6,FALSE))</f>
        <v/>
      </c>
      <c r="BT11" s="173" t="str">
        <f>IF(Table2[[#This Row],[Counter Number]]="","",Table2[[#This Row],[Annual Miles Traveled:]]*IF(Table2[[#This Row],[New Engine Fuel Type:]]="ULSD",VLOOKUP(Table2[[#This Row],[New Engine Model Year:]],EFTable[],6,FALSE),VLOOKUP(Table2[[#This Row],[New Engine Fuel Type:]],EFTable[],6,FALSE)))</f>
        <v/>
      </c>
      <c r="BU11" s="177" t="str">
        <f>IF(Table2[[#This Row],[Counter Number]]="","",Table2[[#This Row],[Old Bus CO Emissions (tons/yr)]]-Table2[[#This Row],[New Bus CO Emissions (tons/yr)]])</f>
        <v/>
      </c>
      <c r="BV11" s="174" t="str">
        <f>IF(Table2[[#This Row],[Counter Number]]="","",Table2[[#This Row],[Reduction Bus CO Emissions (tons/yr)]]/Table2[[#This Row],[Old Bus CO Emissions (tons/yr)]])</f>
        <v/>
      </c>
      <c r="BW11" s="175" t="str">
        <f>IF(Table2[[#This Row],[Counter Number]]="","",Table2[[#This Row],[Reduction Bus CO Emissions (tons/yr)]]*Table2[[#This Row],[Remaining Life:]])</f>
        <v/>
      </c>
      <c r="BX11" s="186" t="str">
        <f>IF(Table2[[#This Row],[Counter Number]]="","",IF(Table2[[#This Row],[Lifetime CO Reduction (tons)]]=0,"NA",Table2[[#This Row],[Upgrade Cost Per Unit]]/Table2[[#This Row],[Lifetime CO Reduction (tons)]]))</f>
        <v/>
      </c>
      <c r="BY11" s="180" t="str">
        <f>IF(Table2[[#This Row],[Counter Number]]="","",Table2[[#This Row],[Old ULSD Used (gal):]]*VLOOKUP(Table2[[#This Row],[Engine Model Year:]],EF!$A$2:$G$27,7,FALSE))</f>
        <v/>
      </c>
      <c r="BZ1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 s="181" t="str">
        <f>IF(Table2[[#This Row],[Counter Number]]="","",Table2[[#This Row],[Old Bus CO2 Emissions (tons/yr)]]-Table2[[#This Row],[New Bus CO2 Emissions (tons/yr)]])</f>
        <v/>
      </c>
      <c r="CB11" s="174" t="str">
        <f>IF(Table2[[#This Row],[Counter Number]]="","",Table2[[#This Row],[Reduction Bus CO2 Emissions (tons/yr)]]/Table2[[#This Row],[Old Bus CO2 Emissions (tons/yr)]])</f>
        <v/>
      </c>
      <c r="CC11" s="181" t="str">
        <f>IF(Table2[[#This Row],[Counter Number]]="","",Table2[[#This Row],[Reduction Bus CO2 Emissions (tons/yr)]]*Table2[[#This Row],[Remaining Life:]])</f>
        <v/>
      </c>
      <c r="CD11" s="186" t="str">
        <f>IF(Table2[[#This Row],[Counter Number]]="","",IF(Table2[[#This Row],[Lifetime CO2 Reduction (tons)]]=0,"NA",Table2[[#This Row],[Upgrade Cost Per Unit]]/Table2[[#This Row],[Lifetime CO2 Reduction (tons)]]))</f>
        <v/>
      </c>
      <c r="CE11" s="182" t="str">
        <f>IF(Table2[[#This Row],[Counter Number]]="","",IF(Table2[[#This Row],[New ULSD Used (gal):]]="",Table2[[#This Row],[Old ULSD Used (gal):]],Table2[[#This Row],[Old ULSD Used (gal):]]-Table2[[#This Row],[New ULSD Used (gal):]]))</f>
        <v/>
      </c>
      <c r="CF11" s="183" t="str">
        <f>IF(Table2[[#This Row],[Counter Number]]="","",Table2[[#This Row],[Diesel Fuel Reduction (gal/yr)]]/Table2[[#This Row],[Old ULSD Used (gal):]])</f>
        <v/>
      </c>
      <c r="CG11" s="182" t="str">
        <f>IF(Table2[[#This Row],[Counter Number]]="","",Table2[[#This Row],[Diesel Fuel Reduction (gal/yr)]]*Table2[[#This Row],[Remaining Life:]])</f>
        <v/>
      </c>
    </row>
    <row r="12" spans="1:85" s="61" customFormat="1" ht="15.45" customHeight="1">
      <c r="A12" s="184" t="str">
        <f>IF(A11&lt;Application!$D$24,A11+1,"")</f>
        <v/>
      </c>
      <c r="B12" s="60" t="str">
        <f>IF(Table2[[#This Row],[Counter Number]]="","",Application!$D$16)</f>
        <v/>
      </c>
      <c r="C12" s="60" t="str">
        <f>IF(Table2[[#This Row],[Counter Number]]="","",Application!$D$14)</f>
        <v/>
      </c>
      <c r="D12" s="60" t="str">
        <f>IF(Table2[[#This Row],[Counter Number]]="","",Table1[[#This Row],[Old Bus Number]])</f>
        <v/>
      </c>
      <c r="E12" s="60" t="str">
        <f>IF(Table2[[#This Row],[Counter Number]]="","",Application!$D$15)</f>
        <v/>
      </c>
      <c r="F12" s="60" t="str">
        <f>IF(Table2[[#This Row],[Counter Number]]="","","On Highway")</f>
        <v/>
      </c>
      <c r="G12" s="60" t="str">
        <f>IF(Table2[[#This Row],[Counter Number]]="","",I12)</f>
        <v/>
      </c>
      <c r="H12" s="60" t="str">
        <f>IF(Table2[[#This Row],[Counter Number]]="","","Georgia")</f>
        <v/>
      </c>
      <c r="I12" s="60" t="str">
        <f>IF(Table2[[#This Row],[Counter Number]]="","",Application!$D$16)</f>
        <v/>
      </c>
      <c r="J12" s="60" t="str">
        <f>IF(Table2[[#This Row],[Counter Number]]="","",Application!$D$21)</f>
        <v/>
      </c>
      <c r="K12" s="60" t="str">
        <f>IF(Table2[[#This Row],[Counter Number]]="","",Application!$J$21)</f>
        <v/>
      </c>
      <c r="L12" s="60" t="str">
        <f>IF(Table2[[#This Row],[Counter Number]]="","","School Bus")</f>
        <v/>
      </c>
      <c r="M12" s="60" t="str">
        <f>IF(Table2[[#This Row],[Counter Number]]="","","School Bus")</f>
        <v/>
      </c>
      <c r="N12" s="60" t="str">
        <f>IF(Table2[[#This Row],[Counter Number]]="","",1)</f>
        <v/>
      </c>
      <c r="O12" s="60" t="str">
        <f>IF(Table2[[#This Row],[Counter Number]]="","",Table1[[#This Row],[Vehicle Identification Number(s):]])</f>
        <v/>
      </c>
      <c r="P12" s="60" t="str">
        <f>IF(Table2[[#This Row],[Counter Number]]="","",Table1[[#This Row],[Old Bus Manufacturer:]])</f>
        <v/>
      </c>
      <c r="Q12" s="60" t="str">
        <f>IF(Table2[[#This Row],[Counter Number]]="","",Table1[[#This Row],[Vehicle Model:]])</f>
        <v/>
      </c>
      <c r="R12" s="165" t="str">
        <f>IF(Table2[[#This Row],[Counter Number]]="","",Table1[[#This Row],[Vehicle Model Year:]])</f>
        <v/>
      </c>
      <c r="S12" s="60" t="str">
        <f>IF(Table2[[#This Row],[Counter Number]]="","",Table1[[#This Row],[Engine Serial Number(s):]])</f>
        <v/>
      </c>
      <c r="T12" s="60" t="str">
        <f>IF(Table2[[#This Row],[Counter Number]]="","",Table1[[#This Row],[Engine Make:]])</f>
        <v/>
      </c>
      <c r="U12" s="60" t="str">
        <f>IF(Table2[[#This Row],[Counter Number]]="","",Table1[[#This Row],[Engine Model:]])</f>
        <v/>
      </c>
      <c r="V12" s="165" t="str">
        <f>IF(Table2[[#This Row],[Counter Number]]="","",Table1[[#This Row],[Engine Model Year:]])</f>
        <v/>
      </c>
      <c r="W12" s="60" t="str">
        <f>IF(Table2[[#This Row],[Counter Number]]="","","NA")</f>
        <v/>
      </c>
      <c r="X12" s="165" t="str">
        <f>IF(Table2[[#This Row],[Counter Number]]="","",Table1[[#This Row],[Engine Horsepower (HP):]])</f>
        <v/>
      </c>
      <c r="Y12" s="165" t="str">
        <f>IF(Table2[[#This Row],[Counter Number]]="","",Table1[[#This Row],[Engine Cylinder Displacement (L):]]&amp;" L")</f>
        <v/>
      </c>
      <c r="Z12" s="165" t="str">
        <f>IF(Table2[[#This Row],[Counter Number]]="","",Table1[[#This Row],[Engine Number of Cylinders:]])</f>
        <v/>
      </c>
      <c r="AA12" s="166" t="str">
        <f>IF(Table2[[#This Row],[Counter Number]]="","",Table1[[#This Row],[Engine Family Name:]])</f>
        <v/>
      </c>
      <c r="AB12" s="60" t="str">
        <f>IF(Table2[[#This Row],[Counter Number]]="","","ULSD")</f>
        <v/>
      </c>
      <c r="AC12" s="167" t="str">
        <f>IF(Table2[[#This Row],[Counter Number]]="","",Table2[[#This Row],[Annual Miles Traveled:]]/Table1[[#This Row],[Old Fuel (mpg)]])</f>
        <v/>
      </c>
      <c r="AD12" s="60" t="str">
        <f>IF(Table2[[#This Row],[Counter Number]]="","","NA")</f>
        <v/>
      </c>
      <c r="AE12" s="168" t="str">
        <f>IF(Table2[[#This Row],[Counter Number]]="","",Table1[[#This Row],[Annual Miles Traveled]])</f>
        <v/>
      </c>
      <c r="AF12" s="169" t="str">
        <f>IF(Table2[[#This Row],[Counter Number]]="","",Table1[[#This Row],[Annual Idling Hours:]])</f>
        <v/>
      </c>
      <c r="AG12" s="60" t="str">
        <f>IF(Table2[[#This Row],[Counter Number]]="","","NA")</f>
        <v/>
      </c>
      <c r="AH12" s="165" t="str">
        <f>IF(Table2[[#This Row],[Counter Number]]="","",IF(Application!$J$25="Set Policy",Table1[[#This Row],[Remaining Life (years)         Set Policy]],Table1[[#This Row],[Remaining Life (years)               Case-by-Case]]))</f>
        <v/>
      </c>
      <c r="AI12" s="165" t="str">
        <f>IF(Table2[[#This Row],[Counter Number]]="","",IF(Application!$J$25="Case-by-Case","NA",Table2[[#This Row],[Fiscal Year of EPA Funds Used:]]+Table2[[#This Row],[Remaining Life:]]))</f>
        <v/>
      </c>
      <c r="AJ12" s="165"/>
      <c r="AK12" s="170" t="str">
        <f>IF(Table2[[#This Row],[Counter Number]]="","",Application!$D$14+1)</f>
        <v/>
      </c>
      <c r="AL12" s="60" t="str">
        <f>IF(Table2[[#This Row],[Counter Number]]="","","Vehicle Replacement")</f>
        <v/>
      </c>
      <c r="AM1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 s="171" t="str">
        <f>IF(Table2[[#This Row],[Counter Number]]="","",Table1[[#This Row],[Cost of New Bus:]])</f>
        <v/>
      </c>
      <c r="AO12" s="60" t="str">
        <f>IF(Table2[[#This Row],[Counter Number]]="","","NA")</f>
        <v/>
      </c>
      <c r="AP12" s="165" t="str">
        <f>IF(Table2[[#This Row],[Counter Number]]="","",Table1[[#This Row],[New Engine Model Year:]])</f>
        <v/>
      </c>
      <c r="AQ12" s="60" t="str">
        <f>IF(Table2[[#This Row],[Counter Number]]="","","NA")</f>
        <v/>
      </c>
      <c r="AR12" s="165" t="str">
        <f>IF(Table2[[#This Row],[Counter Number]]="","",Table1[[#This Row],[New Engine Horsepower (HP):]])</f>
        <v/>
      </c>
      <c r="AS12" s="60" t="str">
        <f>IF(Table2[[#This Row],[Counter Number]]="","","NA")</f>
        <v/>
      </c>
      <c r="AT12" s="165" t="str">
        <f>IF(Table2[[#This Row],[Counter Number]]="","",Table1[[#This Row],[New Engine Cylinder Displacement (L):]]&amp;" L")</f>
        <v/>
      </c>
      <c r="AU12" s="114" t="str">
        <f>IF(Table2[[#This Row],[Counter Number]]="","",Table1[[#This Row],[New Engine Number of Cylinders:]])</f>
        <v/>
      </c>
      <c r="AV12" s="60" t="str">
        <f>IF(Table2[[#This Row],[Counter Number]]="","",Table1[[#This Row],[New Engine Family Name:]])</f>
        <v/>
      </c>
      <c r="AW1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 s="60" t="str">
        <f>IF(Table2[[#This Row],[Counter Number]]="","","NA")</f>
        <v/>
      </c>
      <c r="AY12" s="172" t="str">
        <f>IF(Table2[[#This Row],[Counter Number]]="","",IF(Table2[[#This Row],[New Engine Fuel Type:]]="ULSD",Table1[[#This Row],[Annual Miles Traveled]]/Table1[[#This Row],[New Fuel (mpg) if Diesel]],""))</f>
        <v/>
      </c>
      <c r="AZ12" s="60"/>
      <c r="BA12" s="173" t="str">
        <f>IF(Table2[[#This Row],[Counter Number]]="","",Table2[[#This Row],[Annual Miles Traveled:]]*VLOOKUP(Table2[[#This Row],[Engine Model Year:]],EFTable[],3,FALSE))</f>
        <v/>
      </c>
      <c r="BB12" s="173" t="str">
        <f>IF(Table2[[#This Row],[Counter Number]]="","",Table2[[#This Row],[Annual Miles Traveled:]]*IF(Table2[[#This Row],[New Engine Fuel Type:]]="ULSD",VLOOKUP(Table2[[#This Row],[New Engine Model Year:]],EFTable[],3,FALSE),VLOOKUP(Table2[[#This Row],[New Engine Fuel Type:]],EFTable[],3,FALSE)))</f>
        <v/>
      </c>
      <c r="BC12" s="173" t="str">
        <f>IF(Table2[[#This Row],[Counter Number]]="","",Table2[[#This Row],[Old Bus NOx Emissions (tons/yr)]]-Table2[[#This Row],[New Bus NOx Emissions (tons/yr)]])</f>
        <v/>
      </c>
      <c r="BD12" s="174" t="str">
        <f>IF(Table2[[#This Row],[Counter Number]]="","",Table2[[#This Row],[Reduction Bus NOx Emissions (tons/yr)]]/Table2[[#This Row],[Old Bus NOx Emissions (tons/yr)]])</f>
        <v/>
      </c>
      <c r="BE12" s="175" t="str">
        <f>IF(Table2[[#This Row],[Counter Number]]="","",Table2[[#This Row],[Reduction Bus NOx Emissions (tons/yr)]]*Table2[[#This Row],[Remaining Life:]])</f>
        <v/>
      </c>
      <c r="BF12" s="176" t="str">
        <f>IF(Table2[[#This Row],[Counter Number]]="","",IF(Table2[[#This Row],[Lifetime NOx Reduction (tons)]]=0,"NA",Table2[[#This Row],[Upgrade Cost Per Unit]]/Table2[[#This Row],[Lifetime NOx Reduction (tons)]]))</f>
        <v/>
      </c>
      <c r="BG12" s="177" t="str">
        <f>IF(Table2[[#This Row],[Counter Number]]="","",Table2[[#This Row],[Annual Miles Traveled:]]*VLOOKUP(Table2[[#This Row],[Engine Model Year:]],EF!$A$2:$G$27,4,FALSE))</f>
        <v/>
      </c>
      <c r="BH12" s="173" t="str">
        <f>IF(Table2[[#This Row],[Counter Number]]="","",Table2[[#This Row],[Annual Miles Traveled:]]*IF(Table2[[#This Row],[New Engine Fuel Type:]]="ULSD",VLOOKUP(Table2[[#This Row],[New Engine Model Year:]],EFTable[],4,FALSE),VLOOKUP(Table2[[#This Row],[New Engine Fuel Type:]],EFTable[],4,FALSE)))</f>
        <v/>
      </c>
      <c r="BI12" s="178" t="str">
        <f>IF(Table2[[#This Row],[Counter Number]]="","",Table2[[#This Row],[Old Bus PM2.5 Emissions (tons/yr)]]-Table2[[#This Row],[New Bus PM2.5 Emissions (tons/yr)]])</f>
        <v/>
      </c>
      <c r="BJ12" s="185" t="str">
        <f>IF(Table2[[#This Row],[Counter Number]]="","",Table2[[#This Row],[Reduction Bus PM2.5 Emissions (tons/yr)]]/Table2[[#This Row],[Old Bus PM2.5 Emissions (tons/yr)]])</f>
        <v/>
      </c>
      <c r="BK12" s="175" t="str">
        <f>IF(Table2[[#This Row],[Counter Number]]="","",Table2[[#This Row],[Reduction Bus PM2.5 Emissions (tons/yr)]]*Table2[[#This Row],[Remaining Life:]])</f>
        <v/>
      </c>
      <c r="BL12" s="186" t="str">
        <f>IF(Table2[[#This Row],[Counter Number]]="","",IF(Table2[[#This Row],[Lifetime PM2.5 Reduction (tons)]]=0,"NA",Table2[[#This Row],[Upgrade Cost Per Unit]]/Table2[[#This Row],[Lifetime PM2.5 Reduction (tons)]]))</f>
        <v/>
      </c>
      <c r="BM12" s="179" t="str">
        <f>IF(Table2[[#This Row],[Counter Number]]="","",Table2[[#This Row],[Annual Miles Traveled:]]*VLOOKUP(Table2[[#This Row],[Engine Model Year:]],EF!$A$2:$G$40,5,FALSE))</f>
        <v/>
      </c>
      <c r="BN12" s="173" t="str">
        <f>IF(Table2[[#This Row],[Counter Number]]="","",Table2[[#This Row],[Annual Miles Traveled:]]*IF(Table2[[#This Row],[New Engine Fuel Type:]]="ULSD",VLOOKUP(Table2[[#This Row],[New Engine Model Year:]],EFTable[],5,FALSE),VLOOKUP(Table2[[#This Row],[New Engine Fuel Type:]],EFTable[],5,FALSE)))</f>
        <v/>
      </c>
      <c r="BO12" s="177" t="str">
        <f>IF(Table2[[#This Row],[Counter Number]]="","",Table2[[#This Row],[Old Bus HC Emissions (tons/yr)]]-Table2[[#This Row],[New Bus HC Emissions (tons/yr)]])</f>
        <v/>
      </c>
      <c r="BP12" s="174" t="str">
        <f>IF(Table2[[#This Row],[Counter Number]]="","",Table2[[#This Row],[Reduction Bus HC Emissions (tons/yr)]]/Table2[[#This Row],[Old Bus HC Emissions (tons/yr)]])</f>
        <v/>
      </c>
      <c r="BQ12" s="175" t="str">
        <f>IF(Table2[[#This Row],[Counter Number]]="","",Table2[[#This Row],[Reduction Bus HC Emissions (tons/yr)]]*Table2[[#This Row],[Remaining Life:]])</f>
        <v/>
      </c>
      <c r="BR12" s="186" t="str">
        <f>IF(Table2[[#This Row],[Counter Number]]="","",IF(Table2[[#This Row],[Lifetime HC Reduction (tons)]]=0,"NA",Table2[[#This Row],[Upgrade Cost Per Unit]]/Table2[[#This Row],[Lifetime HC Reduction (tons)]]))</f>
        <v/>
      </c>
      <c r="BS12" s="178" t="str">
        <f>IF(Table2[[#This Row],[Counter Number]]="","",Table2[[#This Row],[Annual Miles Traveled:]]*VLOOKUP(Table2[[#This Row],[Engine Model Year:]],EF!$A$2:$G$27,6,FALSE))</f>
        <v/>
      </c>
      <c r="BT12" s="173" t="str">
        <f>IF(Table2[[#This Row],[Counter Number]]="","",Table2[[#This Row],[Annual Miles Traveled:]]*IF(Table2[[#This Row],[New Engine Fuel Type:]]="ULSD",VLOOKUP(Table2[[#This Row],[New Engine Model Year:]],EFTable[],6,FALSE),VLOOKUP(Table2[[#This Row],[New Engine Fuel Type:]],EFTable[],6,FALSE)))</f>
        <v/>
      </c>
      <c r="BU12" s="177" t="str">
        <f>IF(Table2[[#This Row],[Counter Number]]="","",Table2[[#This Row],[Old Bus CO Emissions (tons/yr)]]-Table2[[#This Row],[New Bus CO Emissions (tons/yr)]])</f>
        <v/>
      </c>
      <c r="BV12" s="174" t="str">
        <f>IF(Table2[[#This Row],[Counter Number]]="","",Table2[[#This Row],[Reduction Bus CO Emissions (tons/yr)]]/Table2[[#This Row],[Old Bus CO Emissions (tons/yr)]])</f>
        <v/>
      </c>
      <c r="BW12" s="175" t="str">
        <f>IF(Table2[[#This Row],[Counter Number]]="","",Table2[[#This Row],[Reduction Bus CO Emissions (tons/yr)]]*Table2[[#This Row],[Remaining Life:]])</f>
        <v/>
      </c>
      <c r="BX12" s="186" t="str">
        <f>IF(Table2[[#This Row],[Counter Number]]="","",IF(Table2[[#This Row],[Lifetime CO Reduction (tons)]]=0,"NA",Table2[[#This Row],[Upgrade Cost Per Unit]]/Table2[[#This Row],[Lifetime CO Reduction (tons)]]))</f>
        <v/>
      </c>
      <c r="BY12" s="180" t="str">
        <f>IF(Table2[[#This Row],[Counter Number]]="","",Table2[[#This Row],[Old ULSD Used (gal):]]*VLOOKUP(Table2[[#This Row],[Engine Model Year:]],EF!$A$2:$G$27,7,FALSE))</f>
        <v/>
      </c>
      <c r="BZ1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 s="181" t="str">
        <f>IF(Table2[[#This Row],[Counter Number]]="","",Table2[[#This Row],[Old Bus CO2 Emissions (tons/yr)]]-Table2[[#This Row],[New Bus CO2 Emissions (tons/yr)]])</f>
        <v/>
      </c>
      <c r="CB12" s="174" t="str">
        <f>IF(Table2[[#This Row],[Counter Number]]="","",Table2[[#This Row],[Reduction Bus CO2 Emissions (tons/yr)]]/Table2[[#This Row],[Old Bus CO2 Emissions (tons/yr)]])</f>
        <v/>
      </c>
      <c r="CC12" s="181" t="str">
        <f>IF(Table2[[#This Row],[Counter Number]]="","",Table2[[#This Row],[Reduction Bus CO2 Emissions (tons/yr)]]*Table2[[#This Row],[Remaining Life:]])</f>
        <v/>
      </c>
      <c r="CD12" s="186" t="str">
        <f>IF(Table2[[#This Row],[Counter Number]]="","",IF(Table2[[#This Row],[Lifetime CO2 Reduction (tons)]]=0,"NA",Table2[[#This Row],[Upgrade Cost Per Unit]]/Table2[[#This Row],[Lifetime CO2 Reduction (tons)]]))</f>
        <v/>
      </c>
      <c r="CE12" s="182" t="str">
        <f>IF(Table2[[#This Row],[Counter Number]]="","",IF(Table2[[#This Row],[New ULSD Used (gal):]]="",Table2[[#This Row],[Old ULSD Used (gal):]],Table2[[#This Row],[Old ULSD Used (gal):]]-Table2[[#This Row],[New ULSD Used (gal):]]))</f>
        <v/>
      </c>
      <c r="CF12" s="183" t="str">
        <f>IF(Table2[[#This Row],[Counter Number]]="","",Table2[[#This Row],[Diesel Fuel Reduction (gal/yr)]]/Table2[[#This Row],[Old ULSD Used (gal):]])</f>
        <v/>
      </c>
      <c r="CG12" s="182" t="str">
        <f>IF(Table2[[#This Row],[Counter Number]]="","",Table2[[#This Row],[Diesel Fuel Reduction (gal/yr)]]*Table2[[#This Row],[Remaining Life:]])</f>
        <v/>
      </c>
    </row>
    <row r="13" spans="1:85" ht="15.45" customHeight="1">
      <c r="A13" s="184" t="str">
        <f>IF(A12&lt;Application!$D$24,A12+1,"")</f>
        <v/>
      </c>
      <c r="B13" s="60" t="str">
        <f>IF(Table2[[#This Row],[Counter Number]]="","",Application!$D$16)</f>
        <v/>
      </c>
      <c r="C13" s="60" t="str">
        <f>IF(Table2[[#This Row],[Counter Number]]="","",Application!$D$14)</f>
        <v/>
      </c>
      <c r="D13" s="60" t="str">
        <f>IF(Table2[[#This Row],[Counter Number]]="","",Table1[[#This Row],[Old Bus Number]])</f>
        <v/>
      </c>
      <c r="E13" s="60" t="str">
        <f>IF(Table2[[#This Row],[Counter Number]]="","",Application!$D$15)</f>
        <v/>
      </c>
      <c r="F13" s="60" t="str">
        <f>IF(Table2[[#This Row],[Counter Number]]="","","On Highway")</f>
        <v/>
      </c>
      <c r="G13" s="60" t="str">
        <f>IF(Table2[[#This Row],[Counter Number]]="","",I13)</f>
        <v/>
      </c>
      <c r="H13" s="60" t="str">
        <f>IF(Table2[[#This Row],[Counter Number]]="","","Georgia")</f>
        <v/>
      </c>
      <c r="I13" s="60" t="str">
        <f>IF(Table2[[#This Row],[Counter Number]]="","",Application!$D$16)</f>
        <v/>
      </c>
      <c r="J13" s="60" t="str">
        <f>IF(Table2[[#This Row],[Counter Number]]="","",Application!$D$21)</f>
        <v/>
      </c>
      <c r="K13" s="60" t="str">
        <f>IF(Table2[[#This Row],[Counter Number]]="","",Application!$J$21)</f>
        <v/>
      </c>
      <c r="L13" s="60" t="str">
        <f>IF(Table2[[#This Row],[Counter Number]]="","","School Bus")</f>
        <v/>
      </c>
      <c r="M13" s="60" t="str">
        <f>IF(Table2[[#This Row],[Counter Number]]="","","School Bus")</f>
        <v/>
      </c>
      <c r="N13" s="60" t="str">
        <f>IF(Table2[[#This Row],[Counter Number]]="","",1)</f>
        <v/>
      </c>
      <c r="O13" s="60" t="str">
        <f>IF(Table2[[#This Row],[Counter Number]]="","",Table1[[#This Row],[Vehicle Identification Number(s):]])</f>
        <v/>
      </c>
      <c r="P13" s="60" t="str">
        <f>IF(Table2[[#This Row],[Counter Number]]="","",Table1[[#This Row],[Old Bus Manufacturer:]])</f>
        <v/>
      </c>
      <c r="Q13" s="60" t="str">
        <f>IF(Table2[[#This Row],[Counter Number]]="","",Table1[[#This Row],[Vehicle Model:]])</f>
        <v/>
      </c>
      <c r="R13" s="165" t="str">
        <f>IF(Table2[[#This Row],[Counter Number]]="","",Table1[[#This Row],[Vehicle Model Year:]])</f>
        <v/>
      </c>
      <c r="S13" s="60" t="str">
        <f>IF(Table2[[#This Row],[Counter Number]]="","",Table1[[#This Row],[Engine Serial Number(s):]])</f>
        <v/>
      </c>
      <c r="T13" s="60" t="str">
        <f>IF(Table2[[#This Row],[Counter Number]]="","",Table1[[#This Row],[Engine Make:]])</f>
        <v/>
      </c>
      <c r="U13" s="60" t="str">
        <f>IF(Table2[[#This Row],[Counter Number]]="","",Table1[[#This Row],[Engine Model:]])</f>
        <v/>
      </c>
      <c r="V13" s="165" t="str">
        <f>IF(Table2[[#This Row],[Counter Number]]="","",Table1[[#This Row],[Engine Model Year:]])</f>
        <v/>
      </c>
      <c r="W13" s="60" t="str">
        <f>IF(Table2[[#This Row],[Counter Number]]="","","NA")</f>
        <v/>
      </c>
      <c r="X13" s="165" t="str">
        <f>IF(Table2[[#This Row],[Counter Number]]="","",Table1[[#This Row],[Engine Horsepower (HP):]])</f>
        <v/>
      </c>
      <c r="Y13" s="165" t="str">
        <f>IF(Table2[[#This Row],[Counter Number]]="","",Table1[[#This Row],[Engine Cylinder Displacement (L):]]&amp;" L")</f>
        <v/>
      </c>
      <c r="Z13" s="165" t="str">
        <f>IF(Table2[[#This Row],[Counter Number]]="","",Table1[[#This Row],[Engine Number of Cylinders:]])</f>
        <v/>
      </c>
      <c r="AA13" s="166" t="str">
        <f>IF(Table2[[#This Row],[Counter Number]]="","",Table1[[#This Row],[Engine Family Name:]])</f>
        <v/>
      </c>
      <c r="AB13" s="60" t="str">
        <f>IF(Table2[[#This Row],[Counter Number]]="","","ULSD")</f>
        <v/>
      </c>
      <c r="AC13" s="167" t="str">
        <f>IF(Table2[[#This Row],[Counter Number]]="","",Table2[[#This Row],[Annual Miles Traveled:]]/Table1[[#This Row],[Old Fuel (mpg)]])</f>
        <v/>
      </c>
      <c r="AD13" s="60" t="str">
        <f>IF(Table2[[#This Row],[Counter Number]]="","","NA")</f>
        <v/>
      </c>
      <c r="AE13" s="168" t="str">
        <f>IF(Table2[[#This Row],[Counter Number]]="","",Table1[[#This Row],[Annual Miles Traveled]])</f>
        <v/>
      </c>
      <c r="AF13" s="169" t="str">
        <f>IF(Table2[[#This Row],[Counter Number]]="","",Table1[[#This Row],[Annual Idling Hours:]])</f>
        <v/>
      </c>
      <c r="AG13" s="60" t="str">
        <f>IF(Table2[[#This Row],[Counter Number]]="","","NA")</f>
        <v/>
      </c>
      <c r="AH13" s="165" t="str">
        <f>IF(Table2[[#This Row],[Counter Number]]="","",IF(Application!$J$25="Set Policy",Table1[[#This Row],[Remaining Life (years)         Set Policy]],Table1[[#This Row],[Remaining Life (years)               Case-by-Case]]))</f>
        <v/>
      </c>
      <c r="AI13" s="165" t="str">
        <f>IF(Table2[[#This Row],[Counter Number]]="","",IF(Application!$J$25="Case-by-Case","NA",Table2[[#This Row],[Fiscal Year of EPA Funds Used:]]+Table2[[#This Row],[Remaining Life:]]))</f>
        <v/>
      </c>
      <c r="AJ13" s="165"/>
      <c r="AK13" s="170" t="str">
        <f>IF(Table2[[#This Row],[Counter Number]]="","",Application!$D$14+1)</f>
        <v/>
      </c>
      <c r="AL13" s="60" t="str">
        <f>IF(Table2[[#This Row],[Counter Number]]="","","Vehicle Replacement")</f>
        <v/>
      </c>
      <c r="AM1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 s="171" t="str">
        <f>IF(Table2[[#This Row],[Counter Number]]="","",Table1[[#This Row],[Cost of New Bus:]])</f>
        <v/>
      </c>
      <c r="AO13" s="60" t="str">
        <f>IF(Table2[[#This Row],[Counter Number]]="","","NA")</f>
        <v/>
      </c>
      <c r="AP13" s="165" t="str">
        <f>IF(Table2[[#This Row],[Counter Number]]="","",Table1[[#This Row],[New Engine Model Year:]])</f>
        <v/>
      </c>
      <c r="AQ13" s="60" t="str">
        <f>IF(Table2[[#This Row],[Counter Number]]="","","NA")</f>
        <v/>
      </c>
      <c r="AR13" s="165" t="str">
        <f>IF(Table2[[#This Row],[Counter Number]]="","",Table1[[#This Row],[New Engine Horsepower (HP):]])</f>
        <v/>
      </c>
      <c r="AS13" s="60" t="str">
        <f>IF(Table2[[#This Row],[Counter Number]]="","","NA")</f>
        <v/>
      </c>
      <c r="AT13" s="165" t="str">
        <f>IF(Table2[[#This Row],[Counter Number]]="","",Table1[[#This Row],[New Engine Cylinder Displacement (L):]]&amp;" L")</f>
        <v/>
      </c>
      <c r="AU13" s="114" t="str">
        <f>IF(Table2[[#This Row],[Counter Number]]="","",Table1[[#This Row],[New Engine Number of Cylinders:]])</f>
        <v/>
      </c>
      <c r="AV13" s="60" t="str">
        <f>IF(Table2[[#This Row],[Counter Number]]="","",Table1[[#This Row],[New Engine Family Name:]])</f>
        <v/>
      </c>
      <c r="AW1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 s="60" t="str">
        <f>IF(Table2[[#This Row],[Counter Number]]="","","NA")</f>
        <v/>
      </c>
      <c r="AY13" s="172" t="str">
        <f>IF(Table2[[#This Row],[Counter Number]]="","",IF(Table2[[#This Row],[New Engine Fuel Type:]]="ULSD",Table1[[#This Row],[Annual Miles Traveled]]/Table1[[#This Row],[New Fuel (mpg) if Diesel]],""))</f>
        <v/>
      </c>
      <c r="AZ13" s="60"/>
      <c r="BA13" s="173" t="str">
        <f>IF(Table2[[#This Row],[Counter Number]]="","",Table2[[#This Row],[Annual Miles Traveled:]]*VLOOKUP(Table2[[#This Row],[Engine Model Year:]],EFTable[],3,FALSE))</f>
        <v/>
      </c>
      <c r="BB13" s="173" t="str">
        <f>IF(Table2[[#This Row],[Counter Number]]="","",Table2[[#This Row],[Annual Miles Traveled:]]*IF(Table2[[#This Row],[New Engine Fuel Type:]]="ULSD",VLOOKUP(Table2[[#This Row],[New Engine Model Year:]],EFTable[],3,FALSE),VLOOKUP(Table2[[#This Row],[New Engine Fuel Type:]],EFTable[],3,FALSE)))</f>
        <v/>
      </c>
      <c r="BC13" s="187" t="str">
        <f>IF(Table2[[#This Row],[Counter Number]]="","",Table2[[#This Row],[Old Bus NOx Emissions (tons/yr)]]-Table2[[#This Row],[New Bus NOx Emissions (tons/yr)]])</f>
        <v/>
      </c>
      <c r="BD13" s="188" t="str">
        <f>IF(Table2[[#This Row],[Counter Number]]="","",Table2[[#This Row],[Reduction Bus NOx Emissions (tons/yr)]]/Table2[[#This Row],[Old Bus NOx Emissions (tons/yr)]])</f>
        <v/>
      </c>
      <c r="BE13" s="175" t="str">
        <f>IF(Table2[[#This Row],[Counter Number]]="","",Table2[[#This Row],[Reduction Bus NOx Emissions (tons/yr)]]*Table2[[#This Row],[Remaining Life:]])</f>
        <v/>
      </c>
      <c r="BF13" s="189" t="str">
        <f>IF(Table2[[#This Row],[Counter Number]]="","",IF(Table2[[#This Row],[Lifetime NOx Reduction (tons)]]=0,"NA",Table2[[#This Row],[Upgrade Cost Per Unit]]/Table2[[#This Row],[Lifetime NOx Reduction (tons)]]))</f>
        <v/>
      </c>
      <c r="BG13" s="190" t="str">
        <f>IF(Table2[[#This Row],[Counter Number]]="","",Table2[[#This Row],[Annual Miles Traveled:]]*VLOOKUP(Table2[[#This Row],[Engine Model Year:]],EF!$A$2:$G$27,4,FALSE))</f>
        <v/>
      </c>
      <c r="BH13" s="173" t="str">
        <f>IF(Table2[[#This Row],[Counter Number]]="","",Table2[[#This Row],[Annual Miles Traveled:]]*IF(Table2[[#This Row],[New Engine Fuel Type:]]="ULSD",VLOOKUP(Table2[[#This Row],[New Engine Model Year:]],EFTable[],4,FALSE),VLOOKUP(Table2[[#This Row],[New Engine Fuel Type:]],EFTable[],4,FALSE)))</f>
        <v/>
      </c>
      <c r="BI13" s="191" t="str">
        <f>IF(Table2[[#This Row],[Counter Number]]="","",Table2[[#This Row],[Old Bus PM2.5 Emissions (tons/yr)]]-Table2[[#This Row],[New Bus PM2.5 Emissions (tons/yr)]])</f>
        <v/>
      </c>
      <c r="BJ13" s="192" t="str">
        <f>IF(Table2[[#This Row],[Counter Number]]="","",Table2[[#This Row],[Reduction Bus PM2.5 Emissions (tons/yr)]]/Table2[[#This Row],[Old Bus PM2.5 Emissions (tons/yr)]])</f>
        <v/>
      </c>
      <c r="BK13" s="193" t="str">
        <f>IF(Table2[[#This Row],[Counter Number]]="","",Table2[[#This Row],[Reduction Bus PM2.5 Emissions (tons/yr)]]*Table2[[#This Row],[Remaining Life:]])</f>
        <v/>
      </c>
      <c r="BL13" s="194" t="str">
        <f>IF(Table2[[#This Row],[Counter Number]]="","",IF(Table2[[#This Row],[Lifetime PM2.5 Reduction (tons)]]=0,"NA",Table2[[#This Row],[Upgrade Cost Per Unit]]/Table2[[#This Row],[Lifetime PM2.5 Reduction (tons)]]))</f>
        <v/>
      </c>
      <c r="BM13" s="179" t="str">
        <f>IF(Table2[[#This Row],[Counter Number]]="","",Table2[[#This Row],[Annual Miles Traveled:]]*VLOOKUP(Table2[[#This Row],[Engine Model Year:]],EF!$A$2:$G$40,5,FALSE))</f>
        <v/>
      </c>
      <c r="BN13" s="173" t="str">
        <f>IF(Table2[[#This Row],[Counter Number]]="","",Table2[[#This Row],[Annual Miles Traveled:]]*IF(Table2[[#This Row],[New Engine Fuel Type:]]="ULSD",VLOOKUP(Table2[[#This Row],[New Engine Model Year:]],EFTable[],5,FALSE),VLOOKUP(Table2[[#This Row],[New Engine Fuel Type:]],EFTable[],5,FALSE)))</f>
        <v/>
      </c>
      <c r="BO13" s="190" t="str">
        <f>IF(Table2[[#This Row],[Counter Number]]="","",Table2[[#This Row],[Old Bus HC Emissions (tons/yr)]]-Table2[[#This Row],[New Bus HC Emissions (tons/yr)]])</f>
        <v/>
      </c>
      <c r="BP13" s="188" t="str">
        <f>IF(Table2[[#This Row],[Counter Number]]="","",Table2[[#This Row],[Reduction Bus HC Emissions (tons/yr)]]/Table2[[#This Row],[Old Bus HC Emissions (tons/yr)]])</f>
        <v/>
      </c>
      <c r="BQ13" s="193" t="str">
        <f>IF(Table2[[#This Row],[Counter Number]]="","",Table2[[#This Row],[Reduction Bus HC Emissions (tons/yr)]]*Table2[[#This Row],[Remaining Life:]])</f>
        <v/>
      </c>
      <c r="BR13" s="194" t="str">
        <f>IF(Table2[[#This Row],[Counter Number]]="","",IF(Table2[[#This Row],[Lifetime HC Reduction (tons)]]=0,"NA",Table2[[#This Row],[Upgrade Cost Per Unit]]/Table2[[#This Row],[Lifetime HC Reduction (tons)]]))</f>
        <v/>
      </c>
      <c r="BS13" s="191" t="str">
        <f>IF(Table2[[#This Row],[Counter Number]]="","",Table2[[#This Row],[Annual Miles Traveled:]]*VLOOKUP(Table2[[#This Row],[Engine Model Year:]],EF!$A$2:$G$27,6,FALSE))</f>
        <v/>
      </c>
      <c r="BT13" s="173" t="str">
        <f>IF(Table2[[#This Row],[Counter Number]]="","",Table2[[#This Row],[Annual Miles Traveled:]]*IF(Table2[[#This Row],[New Engine Fuel Type:]]="ULSD",VLOOKUP(Table2[[#This Row],[New Engine Model Year:]],EFTable[],6,FALSE),VLOOKUP(Table2[[#This Row],[New Engine Fuel Type:]],EFTable[],6,FALSE)))</f>
        <v/>
      </c>
      <c r="BU13" s="190" t="str">
        <f>IF(Table2[[#This Row],[Counter Number]]="","",Table2[[#This Row],[Old Bus CO Emissions (tons/yr)]]-Table2[[#This Row],[New Bus CO Emissions (tons/yr)]])</f>
        <v/>
      </c>
      <c r="BV13" s="188" t="str">
        <f>IF(Table2[[#This Row],[Counter Number]]="","",Table2[[#This Row],[Reduction Bus CO Emissions (tons/yr)]]/Table2[[#This Row],[Old Bus CO Emissions (tons/yr)]])</f>
        <v/>
      </c>
      <c r="BW13" s="193" t="str">
        <f>IF(Table2[[#This Row],[Counter Number]]="","",Table2[[#This Row],[Reduction Bus CO Emissions (tons/yr)]]*Table2[[#This Row],[Remaining Life:]])</f>
        <v/>
      </c>
      <c r="BX13" s="194" t="str">
        <f>IF(Table2[[#This Row],[Counter Number]]="","",IF(Table2[[#This Row],[Lifetime CO Reduction (tons)]]=0,"NA",Table2[[#This Row],[Upgrade Cost Per Unit]]/Table2[[#This Row],[Lifetime CO Reduction (tons)]]))</f>
        <v/>
      </c>
      <c r="BY13" s="180" t="str">
        <f>IF(Table2[[#This Row],[Counter Number]]="","",Table2[[#This Row],[Old ULSD Used (gal):]]*VLOOKUP(Table2[[#This Row],[Engine Model Year:]],EF!$A$2:$G$27,7,FALSE))</f>
        <v/>
      </c>
      <c r="BZ1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 s="195" t="str">
        <f>IF(Table2[[#This Row],[Counter Number]]="","",Table2[[#This Row],[Old Bus CO2 Emissions (tons/yr)]]-Table2[[#This Row],[New Bus CO2 Emissions (tons/yr)]])</f>
        <v/>
      </c>
      <c r="CB13" s="188" t="str">
        <f>IF(Table2[[#This Row],[Counter Number]]="","",Table2[[#This Row],[Reduction Bus CO2 Emissions (tons/yr)]]/Table2[[#This Row],[Old Bus CO2 Emissions (tons/yr)]])</f>
        <v/>
      </c>
      <c r="CC13" s="195" t="str">
        <f>IF(Table2[[#This Row],[Counter Number]]="","",Table2[[#This Row],[Reduction Bus CO2 Emissions (tons/yr)]]*Table2[[#This Row],[Remaining Life:]])</f>
        <v/>
      </c>
      <c r="CD13" s="194" t="str">
        <f>IF(Table2[[#This Row],[Counter Number]]="","",IF(Table2[[#This Row],[Lifetime CO2 Reduction (tons)]]=0,"NA",Table2[[#This Row],[Upgrade Cost Per Unit]]/Table2[[#This Row],[Lifetime CO2 Reduction (tons)]]))</f>
        <v/>
      </c>
      <c r="CE13" s="182" t="str">
        <f>IF(Table2[[#This Row],[Counter Number]]="","",IF(Table2[[#This Row],[New ULSD Used (gal):]]="",Table2[[#This Row],[Old ULSD Used (gal):]],Table2[[#This Row],[Old ULSD Used (gal):]]-Table2[[#This Row],[New ULSD Used (gal):]]))</f>
        <v/>
      </c>
      <c r="CF13" s="196" t="str">
        <f>IF(Table2[[#This Row],[Counter Number]]="","",Table2[[#This Row],[Diesel Fuel Reduction (gal/yr)]]/Table2[[#This Row],[Old ULSD Used (gal):]])</f>
        <v/>
      </c>
      <c r="CG13" s="197" t="str">
        <f>IF(Table2[[#This Row],[Counter Number]]="","",Table2[[#This Row],[Diesel Fuel Reduction (gal/yr)]]*Table2[[#This Row],[Remaining Life:]])</f>
        <v/>
      </c>
    </row>
    <row r="14" spans="1:85" ht="15.45" customHeight="1">
      <c r="A14" s="184" t="str">
        <f>IF(A13&lt;Application!$D$24,A13+1,"")</f>
        <v/>
      </c>
      <c r="B14" s="60" t="str">
        <f>IF(Table2[[#This Row],[Counter Number]]="","",Application!$D$16)</f>
        <v/>
      </c>
      <c r="C14" s="60" t="str">
        <f>IF(Table2[[#This Row],[Counter Number]]="","",Application!$D$14)</f>
        <v/>
      </c>
      <c r="D14" s="60" t="str">
        <f>IF(Table2[[#This Row],[Counter Number]]="","",Table1[[#This Row],[Old Bus Number]])</f>
        <v/>
      </c>
      <c r="E14" s="60" t="str">
        <f>IF(Table2[[#This Row],[Counter Number]]="","",Application!$D$15)</f>
        <v/>
      </c>
      <c r="F14" s="60" t="str">
        <f>IF(Table2[[#This Row],[Counter Number]]="","","On Highway")</f>
        <v/>
      </c>
      <c r="G14" s="60" t="str">
        <f>IF(Table2[[#This Row],[Counter Number]]="","",I14)</f>
        <v/>
      </c>
      <c r="H14" s="60" t="str">
        <f>IF(Table2[[#This Row],[Counter Number]]="","","Georgia")</f>
        <v/>
      </c>
      <c r="I14" s="60" t="str">
        <f>IF(Table2[[#This Row],[Counter Number]]="","",Application!$D$16)</f>
        <v/>
      </c>
      <c r="J14" s="60" t="str">
        <f>IF(Table2[[#This Row],[Counter Number]]="","",Application!$D$21)</f>
        <v/>
      </c>
      <c r="K14" s="60" t="str">
        <f>IF(Table2[[#This Row],[Counter Number]]="","",Application!$J$21)</f>
        <v/>
      </c>
      <c r="L14" s="60" t="str">
        <f>IF(Table2[[#This Row],[Counter Number]]="","","School Bus")</f>
        <v/>
      </c>
      <c r="M14" s="60" t="str">
        <f>IF(Table2[[#This Row],[Counter Number]]="","","School Bus")</f>
        <v/>
      </c>
      <c r="N14" s="60" t="str">
        <f>IF(Table2[[#This Row],[Counter Number]]="","",1)</f>
        <v/>
      </c>
      <c r="O14" s="60" t="str">
        <f>IF(Table2[[#This Row],[Counter Number]]="","",Table1[[#This Row],[Vehicle Identification Number(s):]])</f>
        <v/>
      </c>
      <c r="P14" s="60" t="str">
        <f>IF(Table2[[#This Row],[Counter Number]]="","",Table1[[#This Row],[Old Bus Manufacturer:]])</f>
        <v/>
      </c>
      <c r="Q14" s="60" t="str">
        <f>IF(Table2[[#This Row],[Counter Number]]="","",Table1[[#This Row],[Vehicle Model:]])</f>
        <v/>
      </c>
      <c r="R14" s="165" t="str">
        <f>IF(Table2[[#This Row],[Counter Number]]="","",Table1[[#This Row],[Vehicle Model Year:]])</f>
        <v/>
      </c>
      <c r="S14" s="60" t="str">
        <f>IF(Table2[[#This Row],[Counter Number]]="","",Table1[[#This Row],[Engine Serial Number(s):]])</f>
        <v/>
      </c>
      <c r="T14" s="60" t="str">
        <f>IF(Table2[[#This Row],[Counter Number]]="","",Table1[[#This Row],[Engine Make:]])</f>
        <v/>
      </c>
      <c r="U14" s="60" t="str">
        <f>IF(Table2[[#This Row],[Counter Number]]="","",Table1[[#This Row],[Engine Model:]])</f>
        <v/>
      </c>
      <c r="V14" s="165" t="str">
        <f>IF(Table2[[#This Row],[Counter Number]]="","",Table1[[#This Row],[Engine Model Year:]])</f>
        <v/>
      </c>
      <c r="W14" s="60" t="str">
        <f>IF(Table2[[#This Row],[Counter Number]]="","","NA")</f>
        <v/>
      </c>
      <c r="X14" s="165" t="str">
        <f>IF(Table2[[#This Row],[Counter Number]]="","",Table1[[#This Row],[Engine Horsepower (HP):]])</f>
        <v/>
      </c>
      <c r="Y14" s="165" t="str">
        <f>IF(Table2[[#This Row],[Counter Number]]="","",Table1[[#This Row],[Engine Cylinder Displacement (L):]]&amp;" L")</f>
        <v/>
      </c>
      <c r="Z14" s="165" t="str">
        <f>IF(Table2[[#This Row],[Counter Number]]="","",Table1[[#This Row],[Engine Number of Cylinders:]])</f>
        <v/>
      </c>
      <c r="AA14" s="166" t="str">
        <f>IF(Table2[[#This Row],[Counter Number]]="","",Table1[[#This Row],[Engine Family Name:]])</f>
        <v/>
      </c>
      <c r="AB14" s="60" t="str">
        <f>IF(Table2[[#This Row],[Counter Number]]="","","ULSD")</f>
        <v/>
      </c>
      <c r="AC14" s="167" t="str">
        <f>IF(Table2[[#This Row],[Counter Number]]="","",Table2[[#This Row],[Annual Miles Traveled:]]/Table1[[#This Row],[Old Fuel (mpg)]])</f>
        <v/>
      </c>
      <c r="AD14" s="60" t="str">
        <f>IF(Table2[[#This Row],[Counter Number]]="","","NA")</f>
        <v/>
      </c>
      <c r="AE14" s="168" t="str">
        <f>IF(Table2[[#This Row],[Counter Number]]="","",Table1[[#This Row],[Annual Miles Traveled]])</f>
        <v/>
      </c>
      <c r="AF14" s="169" t="str">
        <f>IF(Table2[[#This Row],[Counter Number]]="","",Table1[[#This Row],[Annual Idling Hours:]])</f>
        <v/>
      </c>
      <c r="AG14" s="60" t="str">
        <f>IF(Table2[[#This Row],[Counter Number]]="","","NA")</f>
        <v/>
      </c>
      <c r="AH14" s="165" t="str">
        <f>IF(Table2[[#This Row],[Counter Number]]="","",IF(Application!$J$25="Set Policy",Table1[[#This Row],[Remaining Life (years)         Set Policy]],Table1[[#This Row],[Remaining Life (years)               Case-by-Case]]))</f>
        <v/>
      </c>
      <c r="AI14" s="165" t="str">
        <f>IF(Table2[[#This Row],[Counter Number]]="","",IF(Application!$J$25="Case-by-Case","NA",Table2[[#This Row],[Fiscal Year of EPA Funds Used:]]+Table2[[#This Row],[Remaining Life:]]))</f>
        <v/>
      </c>
      <c r="AJ14" s="165"/>
      <c r="AK14" s="170" t="str">
        <f>IF(Table2[[#This Row],[Counter Number]]="","",Application!$D$14+1)</f>
        <v/>
      </c>
      <c r="AL14" s="60" t="str">
        <f>IF(Table2[[#This Row],[Counter Number]]="","","Vehicle Replacement")</f>
        <v/>
      </c>
      <c r="AM1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 s="171" t="str">
        <f>IF(Table2[[#This Row],[Counter Number]]="","",Table1[[#This Row],[Cost of New Bus:]])</f>
        <v/>
      </c>
      <c r="AO14" s="60" t="str">
        <f>IF(Table2[[#This Row],[Counter Number]]="","","NA")</f>
        <v/>
      </c>
      <c r="AP14" s="165" t="str">
        <f>IF(Table2[[#This Row],[Counter Number]]="","",Table1[[#This Row],[New Engine Model Year:]])</f>
        <v/>
      </c>
      <c r="AQ14" s="60" t="str">
        <f>IF(Table2[[#This Row],[Counter Number]]="","","NA")</f>
        <v/>
      </c>
      <c r="AR14" s="165" t="str">
        <f>IF(Table2[[#This Row],[Counter Number]]="","",Table1[[#This Row],[New Engine Horsepower (HP):]])</f>
        <v/>
      </c>
      <c r="AS14" s="60" t="str">
        <f>IF(Table2[[#This Row],[Counter Number]]="","","NA")</f>
        <v/>
      </c>
      <c r="AT14" s="165" t="str">
        <f>IF(Table2[[#This Row],[Counter Number]]="","",Table1[[#This Row],[New Engine Cylinder Displacement (L):]]&amp;" L")</f>
        <v/>
      </c>
      <c r="AU14" s="114" t="str">
        <f>IF(Table2[[#This Row],[Counter Number]]="","",Table1[[#This Row],[New Engine Number of Cylinders:]])</f>
        <v/>
      </c>
      <c r="AV14" s="60" t="str">
        <f>IF(Table2[[#This Row],[Counter Number]]="","",Table1[[#This Row],[New Engine Family Name:]])</f>
        <v/>
      </c>
      <c r="AW1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 s="60" t="str">
        <f>IF(Table2[[#This Row],[Counter Number]]="","","NA")</f>
        <v/>
      </c>
      <c r="AY14" s="172" t="str">
        <f>IF(Table2[[#This Row],[Counter Number]]="","",IF(Table2[[#This Row],[New Engine Fuel Type:]]="ULSD",Table1[[#This Row],[Annual Miles Traveled]]/Table1[[#This Row],[New Fuel (mpg) if Diesel]],""))</f>
        <v/>
      </c>
      <c r="AZ14" s="60"/>
      <c r="BA14" s="173" t="str">
        <f>IF(Table2[[#This Row],[Counter Number]]="","",Table2[[#This Row],[Annual Miles Traveled:]]*VLOOKUP(Table2[[#This Row],[Engine Model Year:]],EFTable[],3,FALSE))</f>
        <v/>
      </c>
      <c r="BB14" s="173" t="str">
        <f>IF(Table2[[#This Row],[Counter Number]]="","",Table2[[#This Row],[Annual Miles Traveled:]]*IF(Table2[[#This Row],[New Engine Fuel Type:]]="ULSD",VLOOKUP(Table2[[#This Row],[New Engine Model Year:]],EFTable[],3,FALSE),VLOOKUP(Table2[[#This Row],[New Engine Fuel Type:]],EFTable[],3,FALSE)))</f>
        <v/>
      </c>
      <c r="BC14" s="187" t="str">
        <f>IF(Table2[[#This Row],[Counter Number]]="","",Table2[[#This Row],[Old Bus NOx Emissions (tons/yr)]]-Table2[[#This Row],[New Bus NOx Emissions (tons/yr)]])</f>
        <v/>
      </c>
      <c r="BD14" s="188" t="str">
        <f>IF(Table2[[#This Row],[Counter Number]]="","",Table2[[#This Row],[Reduction Bus NOx Emissions (tons/yr)]]/Table2[[#This Row],[Old Bus NOx Emissions (tons/yr)]])</f>
        <v/>
      </c>
      <c r="BE14" s="175" t="str">
        <f>IF(Table2[[#This Row],[Counter Number]]="","",Table2[[#This Row],[Reduction Bus NOx Emissions (tons/yr)]]*Table2[[#This Row],[Remaining Life:]])</f>
        <v/>
      </c>
      <c r="BF14" s="189" t="str">
        <f>IF(Table2[[#This Row],[Counter Number]]="","",IF(Table2[[#This Row],[Lifetime NOx Reduction (tons)]]=0,"NA",Table2[[#This Row],[Upgrade Cost Per Unit]]/Table2[[#This Row],[Lifetime NOx Reduction (tons)]]))</f>
        <v/>
      </c>
      <c r="BG14" s="190" t="str">
        <f>IF(Table2[[#This Row],[Counter Number]]="","",Table2[[#This Row],[Annual Miles Traveled:]]*VLOOKUP(Table2[[#This Row],[Engine Model Year:]],EF!$A$2:$G$27,4,FALSE))</f>
        <v/>
      </c>
      <c r="BH14" s="173" t="str">
        <f>IF(Table2[[#This Row],[Counter Number]]="","",Table2[[#This Row],[Annual Miles Traveled:]]*IF(Table2[[#This Row],[New Engine Fuel Type:]]="ULSD",VLOOKUP(Table2[[#This Row],[New Engine Model Year:]],EFTable[],4,FALSE),VLOOKUP(Table2[[#This Row],[New Engine Fuel Type:]],EFTable[],4,FALSE)))</f>
        <v/>
      </c>
      <c r="BI14" s="191" t="str">
        <f>IF(Table2[[#This Row],[Counter Number]]="","",Table2[[#This Row],[Old Bus PM2.5 Emissions (tons/yr)]]-Table2[[#This Row],[New Bus PM2.5 Emissions (tons/yr)]])</f>
        <v/>
      </c>
      <c r="BJ14" s="192" t="str">
        <f>IF(Table2[[#This Row],[Counter Number]]="","",Table2[[#This Row],[Reduction Bus PM2.5 Emissions (tons/yr)]]/Table2[[#This Row],[Old Bus PM2.5 Emissions (tons/yr)]])</f>
        <v/>
      </c>
      <c r="BK14" s="193" t="str">
        <f>IF(Table2[[#This Row],[Counter Number]]="","",Table2[[#This Row],[Reduction Bus PM2.5 Emissions (tons/yr)]]*Table2[[#This Row],[Remaining Life:]])</f>
        <v/>
      </c>
      <c r="BL14" s="194" t="str">
        <f>IF(Table2[[#This Row],[Counter Number]]="","",IF(Table2[[#This Row],[Lifetime PM2.5 Reduction (tons)]]=0,"NA",Table2[[#This Row],[Upgrade Cost Per Unit]]/Table2[[#This Row],[Lifetime PM2.5 Reduction (tons)]]))</f>
        <v/>
      </c>
      <c r="BM14" s="179" t="str">
        <f>IF(Table2[[#This Row],[Counter Number]]="","",Table2[[#This Row],[Annual Miles Traveled:]]*VLOOKUP(Table2[[#This Row],[Engine Model Year:]],EF!$A$2:$G$40,5,FALSE))</f>
        <v/>
      </c>
      <c r="BN14" s="173" t="str">
        <f>IF(Table2[[#This Row],[Counter Number]]="","",Table2[[#This Row],[Annual Miles Traveled:]]*IF(Table2[[#This Row],[New Engine Fuel Type:]]="ULSD",VLOOKUP(Table2[[#This Row],[New Engine Model Year:]],EFTable[],5,FALSE),VLOOKUP(Table2[[#This Row],[New Engine Fuel Type:]],EFTable[],5,FALSE)))</f>
        <v/>
      </c>
      <c r="BO14" s="190" t="str">
        <f>IF(Table2[[#This Row],[Counter Number]]="","",Table2[[#This Row],[Old Bus HC Emissions (tons/yr)]]-Table2[[#This Row],[New Bus HC Emissions (tons/yr)]])</f>
        <v/>
      </c>
      <c r="BP14" s="188" t="str">
        <f>IF(Table2[[#This Row],[Counter Number]]="","",Table2[[#This Row],[Reduction Bus HC Emissions (tons/yr)]]/Table2[[#This Row],[Old Bus HC Emissions (tons/yr)]])</f>
        <v/>
      </c>
      <c r="BQ14" s="193" t="str">
        <f>IF(Table2[[#This Row],[Counter Number]]="","",Table2[[#This Row],[Reduction Bus HC Emissions (tons/yr)]]*Table2[[#This Row],[Remaining Life:]])</f>
        <v/>
      </c>
      <c r="BR14" s="194" t="str">
        <f>IF(Table2[[#This Row],[Counter Number]]="","",IF(Table2[[#This Row],[Lifetime HC Reduction (tons)]]=0,"NA",Table2[[#This Row],[Upgrade Cost Per Unit]]/Table2[[#This Row],[Lifetime HC Reduction (tons)]]))</f>
        <v/>
      </c>
      <c r="BS14" s="191" t="str">
        <f>IF(Table2[[#This Row],[Counter Number]]="","",Table2[[#This Row],[Annual Miles Traveled:]]*VLOOKUP(Table2[[#This Row],[Engine Model Year:]],EF!$A$2:$G$27,6,FALSE))</f>
        <v/>
      </c>
      <c r="BT14" s="173" t="str">
        <f>IF(Table2[[#This Row],[Counter Number]]="","",Table2[[#This Row],[Annual Miles Traveled:]]*IF(Table2[[#This Row],[New Engine Fuel Type:]]="ULSD",VLOOKUP(Table2[[#This Row],[New Engine Model Year:]],EFTable[],6,FALSE),VLOOKUP(Table2[[#This Row],[New Engine Fuel Type:]],EFTable[],6,FALSE)))</f>
        <v/>
      </c>
      <c r="BU14" s="190" t="str">
        <f>IF(Table2[[#This Row],[Counter Number]]="","",Table2[[#This Row],[Old Bus CO Emissions (tons/yr)]]-Table2[[#This Row],[New Bus CO Emissions (tons/yr)]])</f>
        <v/>
      </c>
      <c r="BV14" s="188" t="str">
        <f>IF(Table2[[#This Row],[Counter Number]]="","",Table2[[#This Row],[Reduction Bus CO Emissions (tons/yr)]]/Table2[[#This Row],[Old Bus CO Emissions (tons/yr)]])</f>
        <v/>
      </c>
      <c r="BW14" s="193" t="str">
        <f>IF(Table2[[#This Row],[Counter Number]]="","",Table2[[#This Row],[Reduction Bus CO Emissions (tons/yr)]]*Table2[[#This Row],[Remaining Life:]])</f>
        <v/>
      </c>
      <c r="BX14" s="194" t="str">
        <f>IF(Table2[[#This Row],[Counter Number]]="","",IF(Table2[[#This Row],[Lifetime CO Reduction (tons)]]=0,"NA",Table2[[#This Row],[Upgrade Cost Per Unit]]/Table2[[#This Row],[Lifetime CO Reduction (tons)]]))</f>
        <v/>
      </c>
      <c r="BY14" s="180" t="str">
        <f>IF(Table2[[#This Row],[Counter Number]]="","",Table2[[#This Row],[Old ULSD Used (gal):]]*VLOOKUP(Table2[[#This Row],[Engine Model Year:]],EF!$A$2:$G$27,7,FALSE))</f>
        <v/>
      </c>
      <c r="BZ1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 s="195" t="str">
        <f>IF(Table2[[#This Row],[Counter Number]]="","",Table2[[#This Row],[Old Bus CO2 Emissions (tons/yr)]]-Table2[[#This Row],[New Bus CO2 Emissions (tons/yr)]])</f>
        <v/>
      </c>
      <c r="CB14" s="188" t="str">
        <f>IF(Table2[[#This Row],[Counter Number]]="","",Table2[[#This Row],[Reduction Bus CO2 Emissions (tons/yr)]]/Table2[[#This Row],[Old Bus CO2 Emissions (tons/yr)]])</f>
        <v/>
      </c>
      <c r="CC14" s="195" t="str">
        <f>IF(Table2[[#This Row],[Counter Number]]="","",Table2[[#This Row],[Reduction Bus CO2 Emissions (tons/yr)]]*Table2[[#This Row],[Remaining Life:]])</f>
        <v/>
      </c>
      <c r="CD14" s="194" t="str">
        <f>IF(Table2[[#This Row],[Counter Number]]="","",IF(Table2[[#This Row],[Lifetime CO2 Reduction (tons)]]=0,"NA",Table2[[#This Row],[Upgrade Cost Per Unit]]/Table2[[#This Row],[Lifetime CO2 Reduction (tons)]]))</f>
        <v/>
      </c>
      <c r="CE14" s="182" t="str">
        <f>IF(Table2[[#This Row],[Counter Number]]="","",IF(Table2[[#This Row],[New ULSD Used (gal):]]="",Table2[[#This Row],[Old ULSD Used (gal):]],Table2[[#This Row],[Old ULSD Used (gal):]]-Table2[[#This Row],[New ULSD Used (gal):]]))</f>
        <v/>
      </c>
      <c r="CF14" s="196" t="str">
        <f>IF(Table2[[#This Row],[Counter Number]]="","",Table2[[#This Row],[Diesel Fuel Reduction (gal/yr)]]/Table2[[#This Row],[Old ULSD Used (gal):]])</f>
        <v/>
      </c>
      <c r="CG14" s="197" t="str">
        <f>IF(Table2[[#This Row],[Counter Number]]="","",Table2[[#This Row],[Diesel Fuel Reduction (gal/yr)]]*Table2[[#This Row],[Remaining Life:]])</f>
        <v/>
      </c>
    </row>
    <row r="15" spans="1:85" ht="15.45" customHeight="1">
      <c r="A15" s="184" t="str">
        <f>IF(A14&lt;Application!$D$24,A14+1,"")</f>
        <v/>
      </c>
      <c r="B15" s="60" t="str">
        <f>IF(Table2[[#This Row],[Counter Number]]="","",Application!$D$16)</f>
        <v/>
      </c>
      <c r="C15" s="60" t="str">
        <f>IF(Table2[[#This Row],[Counter Number]]="","",Application!$D$14)</f>
        <v/>
      </c>
      <c r="D15" s="60" t="str">
        <f>IF(Table2[[#This Row],[Counter Number]]="","",Table1[[#This Row],[Old Bus Number]])</f>
        <v/>
      </c>
      <c r="E15" s="60" t="str">
        <f>IF(Table2[[#This Row],[Counter Number]]="","",Application!$D$15)</f>
        <v/>
      </c>
      <c r="F15" s="60" t="str">
        <f>IF(Table2[[#This Row],[Counter Number]]="","","On Highway")</f>
        <v/>
      </c>
      <c r="G15" s="60" t="str">
        <f>IF(Table2[[#This Row],[Counter Number]]="","",I15)</f>
        <v/>
      </c>
      <c r="H15" s="60" t="str">
        <f>IF(Table2[[#This Row],[Counter Number]]="","","Georgia")</f>
        <v/>
      </c>
      <c r="I15" s="60" t="str">
        <f>IF(Table2[[#This Row],[Counter Number]]="","",Application!$D$16)</f>
        <v/>
      </c>
      <c r="J15" s="60" t="str">
        <f>IF(Table2[[#This Row],[Counter Number]]="","",Application!$D$21)</f>
        <v/>
      </c>
      <c r="K15" s="60" t="str">
        <f>IF(Table2[[#This Row],[Counter Number]]="","",Application!$J$21)</f>
        <v/>
      </c>
      <c r="L15" s="60" t="str">
        <f>IF(Table2[[#This Row],[Counter Number]]="","","School Bus")</f>
        <v/>
      </c>
      <c r="M15" s="60" t="str">
        <f>IF(Table2[[#This Row],[Counter Number]]="","","School Bus")</f>
        <v/>
      </c>
      <c r="N15" s="60" t="str">
        <f>IF(Table2[[#This Row],[Counter Number]]="","",1)</f>
        <v/>
      </c>
      <c r="O15" s="60" t="str">
        <f>IF(Table2[[#This Row],[Counter Number]]="","",Table1[[#This Row],[Vehicle Identification Number(s):]])</f>
        <v/>
      </c>
      <c r="P15" s="60" t="str">
        <f>IF(Table2[[#This Row],[Counter Number]]="","",Table1[[#This Row],[Old Bus Manufacturer:]])</f>
        <v/>
      </c>
      <c r="Q15" s="60" t="str">
        <f>IF(Table2[[#This Row],[Counter Number]]="","",Table1[[#This Row],[Vehicle Model:]])</f>
        <v/>
      </c>
      <c r="R15" s="165" t="str">
        <f>IF(Table2[[#This Row],[Counter Number]]="","",Table1[[#This Row],[Vehicle Model Year:]])</f>
        <v/>
      </c>
      <c r="S15" s="60" t="str">
        <f>IF(Table2[[#This Row],[Counter Number]]="","",Table1[[#This Row],[Engine Serial Number(s):]])</f>
        <v/>
      </c>
      <c r="T15" s="60" t="str">
        <f>IF(Table2[[#This Row],[Counter Number]]="","",Table1[[#This Row],[Engine Make:]])</f>
        <v/>
      </c>
      <c r="U15" s="60" t="str">
        <f>IF(Table2[[#This Row],[Counter Number]]="","",Table1[[#This Row],[Engine Model:]])</f>
        <v/>
      </c>
      <c r="V15" s="165" t="str">
        <f>IF(Table2[[#This Row],[Counter Number]]="","",Table1[[#This Row],[Engine Model Year:]])</f>
        <v/>
      </c>
      <c r="W15" s="60" t="str">
        <f>IF(Table2[[#This Row],[Counter Number]]="","","NA")</f>
        <v/>
      </c>
      <c r="X15" s="165" t="str">
        <f>IF(Table2[[#This Row],[Counter Number]]="","",Table1[[#This Row],[Engine Horsepower (HP):]])</f>
        <v/>
      </c>
      <c r="Y15" s="165" t="str">
        <f>IF(Table2[[#This Row],[Counter Number]]="","",Table1[[#This Row],[Engine Cylinder Displacement (L):]]&amp;" L")</f>
        <v/>
      </c>
      <c r="Z15" s="165" t="str">
        <f>IF(Table2[[#This Row],[Counter Number]]="","",Table1[[#This Row],[Engine Number of Cylinders:]])</f>
        <v/>
      </c>
      <c r="AA15" s="166" t="str">
        <f>IF(Table2[[#This Row],[Counter Number]]="","",Table1[[#This Row],[Engine Family Name:]])</f>
        <v/>
      </c>
      <c r="AB15" s="60" t="str">
        <f>IF(Table2[[#This Row],[Counter Number]]="","","ULSD")</f>
        <v/>
      </c>
      <c r="AC15" s="167" t="str">
        <f>IF(Table2[[#This Row],[Counter Number]]="","",Table2[[#This Row],[Annual Miles Traveled:]]/Table1[[#This Row],[Old Fuel (mpg)]])</f>
        <v/>
      </c>
      <c r="AD15" s="60" t="str">
        <f>IF(Table2[[#This Row],[Counter Number]]="","","NA")</f>
        <v/>
      </c>
      <c r="AE15" s="168" t="str">
        <f>IF(Table2[[#This Row],[Counter Number]]="","",Table1[[#This Row],[Annual Miles Traveled]])</f>
        <v/>
      </c>
      <c r="AF15" s="169" t="str">
        <f>IF(Table2[[#This Row],[Counter Number]]="","",Table1[[#This Row],[Annual Idling Hours:]])</f>
        <v/>
      </c>
      <c r="AG15" s="60" t="str">
        <f>IF(Table2[[#This Row],[Counter Number]]="","","NA")</f>
        <v/>
      </c>
      <c r="AH15" s="165" t="str">
        <f>IF(Table2[[#This Row],[Counter Number]]="","",IF(Application!$J$25="Set Policy",Table1[[#This Row],[Remaining Life (years)         Set Policy]],Table1[[#This Row],[Remaining Life (years)               Case-by-Case]]))</f>
        <v/>
      </c>
      <c r="AI15" s="165" t="str">
        <f>IF(Table2[[#This Row],[Counter Number]]="","",IF(Application!$J$25="Case-by-Case","NA",Table2[[#This Row],[Fiscal Year of EPA Funds Used:]]+Table2[[#This Row],[Remaining Life:]]))</f>
        <v/>
      </c>
      <c r="AJ15" s="165"/>
      <c r="AK15" s="170" t="str">
        <f>IF(Table2[[#This Row],[Counter Number]]="","",Application!$D$14+1)</f>
        <v/>
      </c>
      <c r="AL15" s="60" t="str">
        <f>IF(Table2[[#This Row],[Counter Number]]="","","Vehicle Replacement")</f>
        <v/>
      </c>
      <c r="AM1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 s="171" t="str">
        <f>IF(Table2[[#This Row],[Counter Number]]="","",Table1[[#This Row],[Cost of New Bus:]])</f>
        <v/>
      </c>
      <c r="AO15" s="60" t="str">
        <f>IF(Table2[[#This Row],[Counter Number]]="","","NA")</f>
        <v/>
      </c>
      <c r="AP15" s="165" t="str">
        <f>IF(Table2[[#This Row],[Counter Number]]="","",Table1[[#This Row],[New Engine Model Year:]])</f>
        <v/>
      </c>
      <c r="AQ15" s="60" t="str">
        <f>IF(Table2[[#This Row],[Counter Number]]="","","NA")</f>
        <v/>
      </c>
      <c r="AR15" s="165" t="str">
        <f>IF(Table2[[#This Row],[Counter Number]]="","",Table1[[#This Row],[New Engine Horsepower (HP):]])</f>
        <v/>
      </c>
      <c r="AS15" s="60" t="str">
        <f>IF(Table2[[#This Row],[Counter Number]]="","","NA")</f>
        <v/>
      </c>
      <c r="AT15" s="165" t="str">
        <f>IF(Table2[[#This Row],[Counter Number]]="","",Table1[[#This Row],[New Engine Cylinder Displacement (L):]]&amp;" L")</f>
        <v/>
      </c>
      <c r="AU15" s="114" t="str">
        <f>IF(Table2[[#This Row],[Counter Number]]="","",Table1[[#This Row],[New Engine Number of Cylinders:]])</f>
        <v/>
      </c>
      <c r="AV15" s="60" t="str">
        <f>IF(Table2[[#This Row],[Counter Number]]="","",Table1[[#This Row],[New Engine Family Name:]])</f>
        <v/>
      </c>
      <c r="AW1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 s="60" t="str">
        <f>IF(Table2[[#This Row],[Counter Number]]="","","NA")</f>
        <v/>
      </c>
      <c r="AY15" s="172" t="str">
        <f>IF(Table2[[#This Row],[Counter Number]]="","",IF(Table2[[#This Row],[New Engine Fuel Type:]]="ULSD",Table1[[#This Row],[Annual Miles Traveled]]/Table1[[#This Row],[New Fuel (mpg) if Diesel]],""))</f>
        <v/>
      </c>
      <c r="AZ15" s="60"/>
      <c r="BA15" s="173" t="str">
        <f>IF(Table2[[#This Row],[Counter Number]]="","",Table2[[#This Row],[Annual Miles Traveled:]]*VLOOKUP(Table2[[#This Row],[Engine Model Year:]],EFTable[],3,FALSE))</f>
        <v/>
      </c>
      <c r="BB15" s="173" t="str">
        <f>IF(Table2[[#This Row],[Counter Number]]="","",Table2[[#This Row],[Annual Miles Traveled:]]*IF(Table2[[#This Row],[New Engine Fuel Type:]]="ULSD",VLOOKUP(Table2[[#This Row],[New Engine Model Year:]],EFTable[],3,FALSE),VLOOKUP(Table2[[#This Row],[New Engine Fuel Type:]],EFTable[],3,FALSE)))</f>
        <v/>
      </c>
      <c r="BC15" s="187" t="str">
        <f>IF(Table2[[#This Row],[Counter Number]]="","",Table2[[#This Row],[Old Bus NOx Emissions (tons/yr)]]-Table2[[#This Row],[New Bus NOx Emissions (tons/yr)]])</f>
        <v/>
      </c>
      <c r="BD15" s="188" t="str">
        <f>IF(Table2[[#This Row],[Counter Number]]="","",Table2[[#This Row],[Reduction Bus NOx Emissions (tons/yr)]]/Table2[[#This Row],[Old Bus NOx Emissions (tons/yr)]])</f>
        <v/>
      </c>
      <c r="BE15" s="175" t="str">
        <f>IF(Table2[[#This Row],[Counter Number]]="","",Table2[[#This Row],[Reduction Bus NOx Emissions (tons/yr)]]*Table2[[#This Row],[Remaining Life:]])</f>
        <v/>
      </c>
      <c r="BF15" s="189" t="str">
        <f>IF(Table2[[#This Row],[Counter Number]]="","",IF(Table2[[#This Row],[Lifetime NOx Reduction (tons)]]=0,"NA",Table2[[#This Row],[Upgrade Cost Per Unit]]/Table2[[#This Row],[Lifetime NOx Reduction (tons)]]))</f>
        <v/>
      </c>
      <c r="BG15" s="190" t="str">
        <f>IF(Table2[[#This Row],[Counter Number]]="","",Table2[[#This Row],[Annual Miles Traveled:]]*VLOOKUP(Table2[[#This Row],[Engine Model Year:]],EF!$A$2:$G$27,4,FALSE))</f>
        <v/>
      </c>
      <c r="BH15" s="173" t="str">
        <f>IF(Table2[[#This Row],[Counter Number]]="","",Table2[[#This Row],[Annual Miles Traveled:]]*IF(Table2[[#This Row],[New Engine Fuel Type:]]="ULSD",VLOOKUP(Table2[[#This Row],[New Engine Model Year:]],EFTable[],4,FALSE),VLOOKUP(Table2[[#This Row],[New Engine Fuel Type:]],EFTable[],4,FALSE)))</f>
        <v/>
      </c>
      <c r="BI15" s="191" t="str">
        <f>IF(Table2[[#This Row],[Counter Number]]="","",Table2[[#This Row],[Old Bus PM2.5 Emissions (tons/yr)]]-Table2[[#This Row],[New Bus PM2.5 Emissions (tons/yr)]])</f>
        <v/>
      </c>
      <c r="BJ15" s="192" t="str">
        <f>IF(Table2[[#This Row],[Counter Number]]="","",Table2[[#This Row],[Reduction Bus PM2.5 Emissions (tons/yr)]]/Table2[[#This Row],[Old Bus PM2.5 Emissions (tons/yr)]])</f>
        <v/>
      </c>
      <c r="BK15" s="193" t="str">
        <f>IF(Table2[[#This Row],[Counter Number]]="","",Table2[[#This Row],[Reduction Bus PM2.5 Emissions (tons/yr)]]*Table2[[#This Row],[Remaining Life:]])</f>
        <v/>
      </c>
      <c r="BL15" s="194" t="str">
        <f>IF(Table2[[#This Row],[Counter Number]]="","",IF(Table2[[#This Row],[Lifetime PM2.5 Reduction (tons)]]=0,"NA",Table2[[#This Row],[Upgrade Cost Per Unit]]/Table2[[#This Row],[Lifetime PM2.5 Reduction (tons)]]))</f>
        <v/>
      </c>
      <c r="BM15" s="179" t="str">
        <f>IF(Table2[[#This Row],[Counter Number]]="","",Table2[[#This Row],[Annual Miles Traveled:]]*VLOOKUP(Table2[[#This Row],[Engine Model Year:]],EF!$A$2:$G$40,5,FALSE))</f>
        <v/>
      </c>
      <c r="BN15" s="173" t="str">
        <f>IF(Table2[[#This Row],[Counter Number]]="","",Table2[[#This Row],[Annual Miles Traveled:]]*IF(Table2[[#This Row],[New Engine Fuel Type:]]="ULSD",VLOOKUP(Table2[[#This Row],[New Engine Model Year:]],EFTable[],5,FALSE),VLOOKUP(Table2[[#This Row],[New Engine Fuel Type:]],EFTable[],5,FALSE)))</f>
        <v/>
      </c>
      <c r="BO15" s="190" t="str">
        <f>IF(Table2[[#This Row],[Counter Number]]="","",Table2[[#This Row],[Old Bus HC Emissions (tons/yr)]]-Table2[[#This Row],[New Bus HC Emissions (tons/yr)]])</f>
        <v/>
      </c>
      <c r="BP15" s="188" t="str">
        <f>IF(Table2[[#This Row],[Counter Number]]="","",Table2[[#This Row],[Reduction Bus HC Emissions (tons/yr)]]/Table2[[#This Row],[Old Bus HC Emissions (tons/yr)]])</f>
        <v/>
      </c>
      <c r="BQ15" s="193" t="str">
        <f>IF(Table2[[#This Row],[Counter Number]]="","",Table2[[#This Row],[Reduction Bus HC Emissions (tons/yr)]]*Table2[[#This Row],[Remaining Life:]])</f>
        <v/>
      </c>
      <c r="BR15" s="194" t="str">
        <f>IF(Table2[[#This Row],[Counter Number]]="","",IF(Table2[[#This Row],[Lifetime HC Reduction (tons)]]=0,"NA",Table2[[#This Row],[Upgrade Cost Per Unit]]/Table2[[#This Row],[Lifetime HC Reduction (tons)]]))</f>
        <v/>
      </c>
      <c r="BS15" s="191" t="str">
        <f>IF(Table2[[#This Row],[Counter Number]]="","",Table2[[#This Row],[Annual Miles Traveled:]]*VLOOKUP(Table2[[#This Row],[Engine Model Year:]],EF!$A$2:$G$27,6,FALSE))</f>
        <v/>
      </c>
      <c r="BT15" s="173" t="str">
        <f>IF(Table2[[#This Row],[Counter Number]]="","",Table2[[#This Row],[Annual Miles Traveled:]]*IF(Table2[[#This Row],[New Engine Fuel Type:]]="ULSD",VLOOKUP(Table2[[#This Row],[New Engine Model Year:]],EFTable[],6,FALSE),VLOOKUP(Table2[[#This Row],[New Engine Fuel Type:]],EFTable[],6,FALSE)))</f>
        <v/>
      </c>
      <c r="BU15" s="190" t="str">
        <f>IF(Table2[[#This Row],[Counter Number]]="","",Table2[[#This Row],[Old Bus CO Emissions (tons/yr)]]-Table2[[#This Row],[New Bus CO Emissions (tons/yr)]])</f>
        <v/>
      </c>
      <c r="BV15" s="188" t="str">
        <f>IF(Table2[[#This Row],[Counter Number]]="","",Table2[[#This Row],[Reduction Bus CO Emissions (tons/yr)]]/Table2[[#This Row],[Old Bus CO Emissions (tons/yr)]])</f>
        <v/>
      </c>
      <c r="BW15" s="193" t="str">
        <f>IF(Table2[[#This Row],[Counter Number]]="","",Table2[[#This Row],[Reduction Bus CO Emissions (tons/yr)]]*Table2[[#This Row],[Remaining Life:]])</f>
        <v/>
      </c>
      <c r="BX15" s="194" t="str">
        <f>IF(Table2[[#This Row],[Counter Number]]="","",IF(Table2[[#This Row],[Lifetime CO Reduction (tons)]]=0,"NA",Table2[[#This Row],[Upgrade Cost Per Unit]]/Table2[[#This Row],[Lifetime CO Reduction (tons)]]))</f>
        <v/>
      </c>
      <c r="BY15" s="180" t="str">
        <f>IF(Table2[[#This Row],[Counter Number]]="","",Table2[[#This Row],[Old ULSD Used (gal):]]*VLOOKUP(Table2[[#This Row],[Engine Model Year:]],EF!$A$2:$G$27,7,FALSE))</f>
        <v/>
      </c>
      <c r="BZ1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 s="195" t="str">
        <f>IF(Table2[[#This Row],[Counter Number]]="","",Table2[[#This Row],[Old Bus CO2 Emissions (tons/yr)]]-Table2[[#This Row],[New Bus CO2 Emissions (tons/yr)]])</f>
        <v/>
      </c>
      <c r="CB15" s="188" t="str">
        <f>IF(Table2[[#This Row],[Counter Number]]="","",Table2[[#This Row],[Reduction Bus CO2 Emissions (tons/yr)]]/Table2[[#This Row],[Old Bus CO2 Emissions (tons/yr)]])</f>
        <v/>
      </c>
      <c r="CC15" s="195" t="str">
        <f>IF(Table2[[#This Row],[Counter Number]]="","",Table2[[#This Row],[Reduction Bus CO2 Emissions (tons/yr)]]*Table2[[#This Row],[Remaining Life:]])</f>
        <v/>
      </c>
      <c r="CD15" s="194" t="str">
        <f>IF(Table2[[#This Row],[Counter Number]]="","",IF(Table2[[#This Row],[Lifetime CO2 Reduction (tons)]]=0,"NA",Table2[[#This Row],[Upgrade Cost Per Unit]]/Table2[[#This Row],[Lifetime CO2 Reduction (tons)]]))</f>
        <v/>
      </c>
      <c r="CE15" s="182" t="str">
        <f>IF(Table2[[#This Row],[Counter Number]]="","",IF(Table2[[#This Row],[New ULSD Used (gal):]]="",Table2[[#This Row],[Old ULSD Used (gal):]],Table2[[#This Row],[Old ULSD Used (gal):]]-Table2[[#This Row],[New ULSD Used (gal):]]))</f>
        <v/>
      </c>
      <c r="CF15" s="196" t="str">
        <f>IF(Table2[[#This Row],[Counter Number]]="","",Table2[[#This Row],[Diesel Fuel Reduction (gal/yr)]]/Table2[[#This Row],[Old ULSD Used (gal):]])</f>
        <v/>
      </c>
      <c r="CG15" s="197" t="str">
        <f>IF(Table2[[#This Row],[Counter Number]]="","",Table2[[#This Row],[Diesel Fuel Reduction (gal/yr)]]*Table2[[#This Row],[Remaining Life:]])</f>
        <v/>
      </c>
    </row>
    <row r="16" spans="1:85" ht="15.45" customHeight="1">
      <c r="A16" s="184" t="str">
        <f>IF(A15&lt;Application!$D$24,A15+1,"")</f>
        <v/>
      </c>
      <c r="B16" s="60" t="str">
        <f>IF(Table2[[#This Row],[Counter Number]]="","",Application!$D$16)</f>
        <v/>
      </c>
      <c r="C16" s="60" t="str">
        <f>IF(Table2[[#This Row],[Counter Number]]="","",Application!$D$14)</f>
        <v/>
      </c>
      <c r="D16" s="60" t="str">
        <f>IF(Table2[[#This Row],[Counter Number]]="","",Table1[[#This Row],[Old Bus Number]])</f>
        <v/>
      </c>
      <c r="E16" s="60" t="str">
        <f>IF(Table2[[#This Row],[Counter Number]]="","",Application!$D$15)</f>
        <v/>
      </c>
      <c r="F16" s="60" t="str">
        <f>IF(Table2[[#This Row],[Counter Number]]="","","On Highway")</f>
        <v/>
      </c>
      <c r="G16" s="60" t="str">
        <f>IF(Table2[[#This Row],[Counter Number]]="","",I16)</f>
        <v/>
      </c>
      <c r="H16" s="60" t="str">
        <f>IF(Table2[[#This Row],[Counter Number]]="","","Georgia")</f>
        <v/>
      </c>
      <c r="I16" s="60" t="str">
        <f>IF(Table2[[#This Row],[Counter Number]]="","",Application!$D$16)</f>
        <v/>
      </c>
      <c r="J16" s="60" t="str">
        <f>IF(Table2[[#This Row],[Counter Number]]="","",Application!$D$21)</f>
        <v/>
      </c>
      <c r="K16" s="60" t="str">
        <f>IF(Table2[[#This Row],[Counter Number]]="","",Application!$J$21)</f>
        <v/>
      </c>
      <c r="L16" s="60" t="str">
        <f>IF(Table2[[#This Row],[Counter Number]]="","","School Bus")</f>
        <v/>
      </c>
      <c r="M16" s="60" t="str">
        <f>IF(Table2[[#This Row],[Counter Number]]="","","School Bus")</f>
        <v/>
      </c>
      <c r="N16" s="60" t="str">
        <f>IF(Table2[[#This Row],[Counter Number]]="","",1)</f>
        <v/>
      </c>
      <c r="O16" s="60" t="str">
        <f>IF(Table2[[#This Row],[Counter Number]]="","",Table1[[#This Row],[Vehicle Identification Number(s):]])</f>
        <v/>
      </c>
      <c r="P16" s="60" t="str">
        <f>IF(Table2[[#This Row],[Counter Number]]="","",Table1[[#This Row],[Old Bus Manufacturer:]])</f>
        <v/>
      </c>
      <c r="Q16" s="60" t="str">
        <f>IF(Table2[[#This Row],[Counter Number]]="","",Table1[[#This Row],[Vehicle Model:]])</f>
        <v/>
      </c>
      <c r="R16" s="165" t="str">
        <f>IF(Table2[[#This Row],[Counter Number]]="","",Table1[[#This Row],[Vehicle Model Year:]])</f>
        <v/>
      </c>
      <c r="S16" s="60" t="str">
        <f>IF(Table2[[#This Row],[Counter Number]]="","",Table1[[#This Row],[Engine Serial Number(s):]])</f>
        <v/>
      </c>
      <c r="T16" s="60" t="str">
        <f>IF(Table2[[#This Row],[Counter Number]]="","",Table1[[#This Row],[Engine Make:]])</f>
        <v/>
      </c>
      <c r="U16" s="60" t="str">
        <f>IF(Table2[[#This Row],[Counter Number]]="","",Table1[[#This Row],[Engine Model:]])</f>
        <v/>
      </c>
      <c r="V16" s="165" t="str">
        <f>IF(Table2[[#This Row],[Counter Number]]="","",Table1[[#This Row],[Engine Model Year:]])</f>
        <v/>
      </c>
      <c r="W16" s="60" t="str">
        <f>IF(Table2[[#This Row],[Counter Number]]="","","NA")</f>
        <v/>
      </c>
      <c r="X16" s="165" t="str">
        <f>IF(Table2[[#This Row],[Counter Number]]="","",Table1[[#This Row],[Engine Horsepower (HP):]])</f>
        <v/>
      </c>
      <c r="Y16" s="165" t="str">
        <f>IF(Table2[[#This Row],[Counter Number]]="","",Table1[[#This Row],[Engine Cylinder Displacement (L):]]&amp;" L")</f>
        <v/>
      </c>
      <c r="Z16" s="165" t="str">
        <f>IF(Table2[[#This Row],[Counter Number]]="","",Table1[[#This Row],[Engine Number of Cylinders:]])</f>
        <v/>
      </c>
      <c r="AA16" s="166" t="str">
        <f>IF(Table2[[#This Row],[Counter Number]]="","",Table1[[#This Row],[Engine Family Name:]])</f>
        <v/>
      </c>
      <c r="AB16" s="60" t="str">
        <f>IF(Table2[[#This Row],[Counter Number]]="","","ULSD")</f>
        <v/>
      </c>
      <c r="AC16" s="167" t="str">
        <f>IF(Table2[[#This Row],[Counter Number]]="","",Table2[[#This Row],[Annual Miles Traveled:]]/Table1[[#This Row],[Old Fuel (mpg)]])</f>
        <v/>
      </c>
      <c r="AD16" s="60" t="str">
        <f>IF(Table2[[#This Row],[Counter Number]]="","","NA")</f>
        <v/>
      </c>
      <c r="AE16" s="168" t="str">
        <f>IF(Table2[[#This Row],[Counter Number]]="","",Table1[[#This Row],[Annual Miles Traveled]])</f>
        <v/>
      </c>
      <c r="AF16" s="169" t="str">
        <f>IF(Table2[[#This Row],[Counter Number]]="","",Table1[[#This Row],[Annual Idling Hours:]])</f>
        <v/>
      </c>
      <c r="AG16" s="60" t="str">
        <f>IF(Table2[[#This Row],[Counter Number]]="","","NA")</f>
        <v/>
      </c>
      <c r="AH16" s="165" t="str">
        <f>IF(Table2[[#This Row],[Counter Number]]="","",IF(Application!$J$25="Set Policy",Table1[[#This Row],[Remaining Life (years)         Set Policy]],Table1[[#This Row],[Remaining Life (years)               Case-by-Case]]))</f>
        <v/>
      </c>
      <c r="AI16" s="165" t="str">
        <f>IF(Table2[[#This Row],[Counter Number]]="","",IF(Application!$J$25="Case-by-Case","NA",Table2[[#This Row],[Fiscal Year of EPA Funds Used:]]+Table2[[#This Row],[Remaining Life:]]))</f>
        <v/>
      </c>
      <c r="AJ16" s="165"/>
      <c r="AK16" s="170" t="str">
        <f>IF(Table2[[#This Row],[Counter Number]]="","",Application!$D$14+1)</f>
        <v/>
      </c>
      <c r="AL16" s="60" t="str">
        <f>IF(Table2[[#This Row],[Counter Number]]="","","Vehicle Replacement")</f>
        <v/>
      </c>
      <c r="AM1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 s="171" t="str">
        <f>IF(Table2[[#This Row],[Counter Number]]="","",Table1[[#This Row],[Cost of New Bus:]])</f>
        <v/>
      </c>
      <c r="AO16" s="60" t="str">
        <f>IF(Table2[[#This Row],[Counter Number]]="","","NA")</f>
        <v/>
      </c>
      <c r="AP16" s="165" t="str">
        <f>IF(Table2[[#This Row],[Counter Number]]="","",Table1[[#This Row],[New Engine Model Year:]])</f>
        <v/>
      </c>
      <c r="AQ16" s="60" t="str">
        <f>IF(Table2[[#This Row],[Counter Number]]="","","NA")</f>
        <v/>
      </c>
      <c r="AR16" s="165" t="str">
        <f>IF(Table2[[#This Row],[Counter Number]]="","",Table1[[#This Row],[New Engine Horsepower (HP):]])</f>
        <v/>
      </c>
      <c r="AS16" s="60" t="str">
        <f>IF(Table2[[#This Row],[Counter Number]]="","","NA")</f>
        <v/>
      </c>
      <c r="AT16" s="165" t="str">
        <f>IF(Table2[[#This Row],[Counter Number]]="","",Table1[[#This Row],[New Engine Cylinder Displacement (L):]]&amp;" L")</f>
        <v/>
      </c>
      <c r="AU16" s="114" t="str">
        <f>IF(Table2[[#This Row],[Counter Number]]="","",Table1[[#This Row],[New Engine Number of Cylinders:]])</f>
        <v/>
      </c>
      <c r="AV16" s="60" t="str">
        <f>IF(Table2[[#This Row],[Counter Number]]="","",Table1[[#This Row],[New Engine Family Name:]])</f>
        <v/>
      </c>
      <c r="AW1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 s="60" t="str">
        <f>IF(Table2[[#This Row],[Counter Number]]="","","NA")</f>
        <v/>
      </c>
      <c r="AY16" s="172" t="str">
        <f>IF(Table2[[#This Row],[Counter Number]]="","",IF(Table2[[#This Row],[New Engine Fuel Type:]]="ULSD",Table1[[#This Row],[Annual Miles Traveled]]/Table1[[#This Row],[New Fuel (mpg) if Diesel]],""))</f>
        <v/>
      </c>
      <c r="AZ16" s="60"/>
      <c r="BA16" s="173" t="str">
        <f>IF(Table2[[#This Row],[Counter Number]]="","",Table2[[#This Row],[Annual Miles Traveled:]]*VLOOKUP(Table2[[#This Row],[Engine Model Year:]],EFTable[],3,FALSE))</f>
        <v/>
      </c>
      <c r="BB16" s="173" t="str">
        <f>IF(Table2[[#This Row],[Counter Number]]="","",Table2[[#This Row],[Annual Miles Traveled:]]*IF(Table2[[#This Row],[New Engine Fuel Type:]]="ULSD",VLOOKUP(Table2[[#This Row],[New Engine Model Year:]],EFTable[],3,FALSE),VLOOKUP(Table2[[#This Row],[New Engine Fuel Type:]],EFTable[],3,FALSE)))</f>
        <v/>
      </c>
      <c r="BC16" s="187" t="str">
        <f>IF(Table2[[#This Row],[Counter Number]]="","",Table2[[#This Row],[Old Bus NOx Emissions (tons/yr)]]-Table2[[#This Row],[New Bus NOx Emissions (tons/yr)]])</f>
        <v/>
      </c>
      <c r="BD16" s="188" t="str">
        <f>IF(Table2[[#This Row],[Counter Number]]="","",Table2[[#This Row],[Reduction Bus NOx Emissions (tons/yr)]]/Table2[[#This Row],[Old Bus NOx Emissions (tons/yr)]])</f>
        <v/>
      </c>
      <c r="BE16" s="175" t="str">
        <f>IF(Table2[[#This Row],[Counter Number]]="","",Table2[[#This Row],[Reduction Bus NOx Emissions (tons/yr)]]*Table2[[#This Row],[Remaining Life:]])</f>
        <v/>
      </c>
      <c r="BF16" s="189" t="str">
        <f>IF(Table2[[#This Row],[Counter Number]]="","",IF(Table2[[#This Row],[Lifetime NOx Reduction (tons)]]=0,"NA",Table2[[#This Row],[Upgrade Cost Per Unit]]/Table2[[#This Row],[Lifetime NOx Reduction (tons)]]))</f>
        <v/>
      </c>
      <c r="BG16" s="190" t="str">
        <f>IF(Table2[[#This Row],[Counter Number]]="","",Table2[[#This Row],[Annual Miles Traveled:]]*VLOOKUP(Table2[[#This Row],[Engine Model Year:]],EF!$A$2:$G$27,4,FALSE))</f>
        <v/>
      </c>
      <c r="BH16" s="173" t="str">
        <f>IF(Table2[[#This Row],[Counter Number]]="","",Table2[[#This Row],[Annual Miles Traveled:]]*IF(Table2[[#This Row],[New Engine Fuel Type:]]="ULSD",VLOOKUP(Table2[[#This Row],[New Engine Model Year:]],EFTable[],4,FALSE),VLOOKUP(Table2[[#This Row],[New Engine Fuel Type:]],EFTable[],4,FALSE)))</f>
        <v/>
      </c>
      <c r="BI16" s="191" t="str">
        <f>IF(Table2[[#This Row],[Counter Number]]="","",Table2[[#This Row],[Old Bus PM2.5 Emissions (tons/yr)]]-Table2[[#This Row],[New Bus PM2.5 Emissions (tons/yr)]])</f>
        <v/>
      </c>
      <c r="BJ16" s="192" t="str">
        <f>IF(Table2[[#This Row],[Counter Number]]="","",Table2[[#This Row],[Reduction Bus PM2.5 Emissions (tons/yr)]]/Table2[[#This Row],[Old Bus PM2.5 Emissions (tons/yr)]])</f>
        <v/>
      </c>
      <c r="BK16" s="193" t="str">
        <f>IF(Table2[[#This Row],[Counter Number]]="","",Table2[[#This Row],[Reduction Bus PM2.5 Emissions (tons/yr)]]*Table2[[#This Row],[Remaining Life:]])</f>
        <v/>
      </c>
      <c r="BL16" s="194" t="str">
        <f>IF(Table2[[#This Row],[Counter Number]]="","",IF(Table2[[#This Row],[Lifetime PM2.5 Reduction (tons)]]=0,"NA",Table2[[#This Row],[Upgrade Cost Per Unit]]/Table2[[#This Row],[Lifetime PM2.5 Reduction (tons)]]))</f>
        <v/>
      </c>
      <c r="BM16" s="179" t="str">
        <f>IF(Table2[[#This Row],[Counter Number]]="","",Table2[[#This Row],[Annual Miles Traveled:]]*VLOOKUP(Table2[[#This Row],[Engine Model Year:]],EF!$A$2:$G$40,5,FALSE))</f>
        <v/>
      </c>
      <c r="BN16" s="173" t="str">
        <f>IF(Table2[[#This Row],[Counter Number]]="","",Table2[[#This Row],[Annual Miles Traveled:]]*IF(Table2[[#This Row],[New Engine Fuel Type:]]="ULSD",VLOOKUP(Table2[[#This Row],[New Engine Model Year:]],EFTable[],5,FALSE),VLOOKUP(Table2[[#This Row],[New Engine Fuel Type:]],EFTable[],5,FALSE)))</f>
        <v/>
      </c>
      <c r="BO16" s="190" t="str">
        <f>IF(Table2[[#This Row],[Counter Number]]="","",Table2[[#This Row],[Old Bus HC Emissions (tons/yr)]]-Table2[[#This Row],[New Bus HC Emissions (tons/yr)]])</f>
        <v/>
      </c>
      <c r="BP16" s="188" t="str">
        <f>IF(Table2[[#This Row],[Counter Number]]="","",Table2[[#This Row],[Reduction Bus HC Emissions (tons/yr)]]/Table2[[#This Row],[Old Bus HC Emissions (tons/yr)]])</f>
        <v/>
      </c>
      <c r="BQ16" s="193" t="str">
        <f>IF(Table2[[#This Row],[Counter Number]]="","",Table2[[#This Row],[Reduction Bus HC Emissions (tons/yr)]]*Table2[[#This Row],[Remaining Life:]])</f>
        <v/>
      </c>
      <c r="BR16" s="194" t="str">
        <f>IF(Table2[[#This Row],[Counter Number]]="","",IF(Table2[[#This Row],[Lifetime HC Reduction (tons)]]=0,"NA",Table2[[#This Row],[Upgrade Cost Per Unit]]/Table2[[#This Row],[Lifetime HC Reduction (tons)]]))</f>
        <v/>
      </c>
      <c r="BS16" s="191" t="str">
        <f>IF(Table2[[#This Row],[Counter Number]]="","",Table2[[#This Row],[Annual Miles Traveled:]]*VLOOKUP(Table2[[#This Row],[Engine Model Year:]],EF!$A$2:$G$27,6,FALSE))</f>
        <v/>
      </c>
      <c r="BT16" s="173" t="str">
        <f>IF(Table2[[#This Row],[Counter Number]]="","",Table2[[#This Row],[Annual Miles Traveled:]]*IF(Table2[[#This Row],[New Engine Fuel Type:]]="ULSD",VLOOKUP(Table2[[#This Row],[New Engine Model Year:]],EFTable[],6,FALSE),VLOOKUP(Table2[[#This Row],[New Engine Fuel Type:]],EFTable[],6,FALSE)))</f>
        <v/>
      </c>
      <c r="BU16" s="190" t="str">
        <f>IF(Table2[[#This Row],[Counter Number]]="","",Table2[[#This Row],[Old Bus CO Emissions (tons/yr)]]-Table2[[#This Row],[New Bus CO Emissions (tons/yr)]])</f>
        <v/>
      </c>
      <c r="BV16" s="188" t="str">
        <f>IF(Table2[[#This Row],[Counter Number]]="","",Table2[[#This Row],[Reduction Bus CO Emissions (tons/yr)]]/Table2[[#This Row],[Old Bus CO Emissions (tons/yr)]])</f>
        <v/>
      </c>
      <c r="BW16" s="193" t="str">
        <f>IF(Table2[[#This Row],[Counter Number]]="","",Table2[[#This Row],[Reduction Bus CO Emissions (tons/yr)]]*Table2[[#This Row],[Remaining Life:]])</f>
        <v/>
      </c>
      <c r="BX16" s="194" t="str">
        <f>IF(Table2[[#This Row],[Counter Number]]="","",IF(Table2[[#This Row],[Lifetime CO Reduction (tons)]]=0,"NA",Table2[[#This Row],[Upgrade Cost Per Unit]]/Table2[[#This Row],[Lifetime CO Reduction (tons)]]))</f>
        <v/>
      </c>
      <c r="BY16" s="180" t="str">
        <f>IF(Table2[[#This Row],[Counter Number]]="","",Table2[[#This Row],[Old ULSD Used (gal):]]*VLOOKUP(Table2[[#This Row],[Engine Model Year:]],EF!$A$2:$G$27,7,FALSE))</f>
        <v/>
      </c>
      <c r="BZ1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 s="195" t="str">
        <f>IF(Table2[[#This Row],[Counter Number]]="","",Table2[[#This Row],[Old Bus CO2 Emissions (tons/yr)]]-Table2[[#This Row],[New Bus CO2 Emissions (tons/yr)]])</f>
        <v/>
      </c>
      <c r="CB16" s="188" t="str">
        <f>IF(Table2[[#This Row],[Counter Number]]="","",Table2[[#This Row],[Reduction Bus CO2 Emissions (tons/yr)]]/Table2[[#This Row],[Old Bus CO2 Emissions (tons/yr)]])</f>
        <v/>
      </c>
      <c r="CC16" s="195" t="str">
        <f>IF(Table2[[#This Row],[Counter Number]]="","",Table2[[#This Row],[Reduction Bus CO2 Emissions (tons/yr)]]*Table2[[#This Row],[Remaining Life:]])</f>
        <v/>
      </c>
      <c r="CD16" s="194" t="str">
        <f>IF(Table2[[#This Row],[Counter Number]]="","",IF(Table2[[#This Row],[Lifetime CO2 Reduction (tons)]]=0,"NA",Table2[[#This Row],[Upgrade Cost Per Unit]]/Table2[[#This Row],[Lifetime CO2 Reduction (tons)]]))</f>
        <v/>
      </c>
      <c r="CE16" s="182" t="str">
        <f>IF(Table2[[#This Row],[Counter Number]]="","",IF(Table2[[#This Row],[New ULSD Used (gal):]]="",Table2[[#This Row],[Old ULSD Used (gal):]],Table2[[#This Row],[Old ULSD Used (gal):]]-Table2[[#This Row],[New ULSD Used (gal):]]))</f>
        <v/>
      </c>
      <c r="CF16" s="196" t="str">
        <f>IF(Table2[[#This Row],[Counter Number]]="","",Table2[[#This Row],[Diesel Fuel Reduction (gal/yr)]]/Table2[[#This Row],[Old ULSD Used (gal):]])</f>
        <v/>
      </c>
      <c r="CG16" s="197" t="str">
        <f>IF(Table2[[#This Row],[Counter Number]]="","",Table2[[#This Row],[Diesel Fuel Reduction (gal/yr)]]*Table2[[#This Row],[Remaining Life:]])</f>
        <v/>
      </c>
    </row>
    <row r="17" spans="1:85" ht="15.45" customHeight="1">
      <c r="A17" s="184" t="str">
        <f>IF(A16&lt;Application!$D$24,A16+1,"")</f>
        <v/>
      </c>
      <c r="B17" s="60" t="str">
        <f>IF(Table2[[#This Row],[Counter Number]]="","",Application!$D$16)</f>
        <v/>
      </c>
      <c r="C17" s="60" t="str">
        <f>IF(Table2[[#This Row],[Counter Number]]="","",Application!$D$14)</f>
        <v/>
      </c>
      <c r="D17" s="60" t="str">
        <f>IF(Table2[[#This Row],[Counter Number]]="","",Table1[[#This Row],[Old Bus Number]])</f>
        <v/>
      </c>
      <c r="E17" s="60" t="str">
        <f>IF(Table2[[#This Row],[Counter Number]]="","",Application!$D$15)</f>
        <v/>
      </c>
      <c r="F17" s="60" t="str">
        <f>IF(Table2[[#This Row],[Counter Number]]="","","On Highway")</f>
        <v/>
      </c>
      <c r="G17" s="60" t="str">
        <f>IF(Table2[[#This Row],[Counter Number]]="","",I17)</f>
        <v/>
      </c>
      <c r="H17" s="60" t="str">
        <f>IF(Table2[[#This Row],[Counter Number]]="","","Georgia")</f>
        <v/>
      </c>
      <c r="I17" s="60" t="str">
        <f>IF(Table2[[#This Row],[Counter Number]]="","",Application!$D$16)</f>
        <v/>
      </c>
      <c r="J17" s="60" t="str">
        <f>IF(Table2[[#This Row],[Counter Number]]="","",Application!$D$21)</f>
        <v/>
      </c>
      <c r="K17" s="60" t="str">
        <f>IF(Table2[[#This Row],[Counter Number]]="","",Application!$J$21)</f>
        <v/>
      </c>
      <c r="L17" s="60" t="str">
        <f>IF(Table2[[#This Row],[Counter Number]]="","","School Bus")</f>
        <v/>
      </c>
      <c r="M17" s="60" t="str">
        <f>IF(Table2[[#This Row],[Counter Number]]="","","School Bus")</f>
        <v/>
      </c>
      <c r="N17" s="60" t="str">
        <f>IF(Table2[[#This Row],[Counter Number]]="","",1)</f>
        <v/>
      </c>
      <c r="O17" s="60" t="str">
        <f>IF(Table2[[#This Row],[Counter Number]]="","",Table1[[#This Row],[Vehicle Identification Number(s):]])</f>
        <v/>
      </c>
      <c r="P17" s="60" t="str">
        <f>IF(Table2[[#This Row],[Counter Number]]="","",Table1[[#This Row],[Old Bus Manufacturer:]])</f>
        <v/>
      </c>
      <c r="Q17" s="60" t="str">
        <f>IF(Table2[[#This Row],[Counter Number]]="","",Table1[[#This Row],[Vehicle Model:]])</f>
        <v/>
      </c>
      <c r="R17" s="165" t="str">
        <f>IF(Table2[[#This Row],[Counter Number]]="","",Table1[[#This Row],[Vehicle Model Year:]])</f>
        <v/>
      </c>
      <c r="S17" s="60" t="str">
        <f>IF(Table2[[#This Row],[Counter Number]]="","",Table1[[#This Row],[Engine Serial Number(s):]])</f>
        <v/>
      </c>
      <c r="T17" s="60" t="str">
        <f>IF(Table2[[#This Row],[Counter Number]]="","",Table1[[#This Row],[Engine Make:]])</f>
        <v/>
      </c>
      <c r="U17" s="60" t="str">
        <f>IF(Table2[[#This Row],[Counter Number]]="","",Table1[[#This Row],[Engine Model:]])</f>
        <v/>
      </c>
      <c r="V17" s="165" t="str">
        <f>IF(Table2[[#This Row],[Counter Number]]="","",Table1[[#This Row],[Engine Model Year:]])</f>
        <v/>
      </c>
      <c r="W17" s="60" t="str">
        <f>IF(Table2[[#This Row],[Counter Number]]="","","NA")</f>
        <v/>
      </c>
      <c r="X17" s="165" t="str">
        <f>IF(Table2[[#This Row],[Counter Number]]="","",Table1[[#This Row],[Engine Horsepower (HP):]])</f>
        <v/>
      </c>
      <c r="Y17" s="165" t="str">
        <f>IF(Table2[[#This Row],[Counter Number]]="","",Table1[[#This Row],[Engine Cylinder Displacement (L):]]&amp;" L")</f>
        <v/>
      </c>
      <c r="Z17" s="165" t="str">
        <f>IF(Table2[[#This Row],[Counter Number]]="","",Table1[[#This Row],[Engine Number of Cylinders:]])</f>
        <v/>
      </c>
      <c r="AA17" s="166" t="str">
        <f>IF(Table2[[#This Row],[Counter Number]]="","",Table1[[#This Row],[Engine Family Name:]])</f>
        <v/>
      </c>
      <c r="AB17" s="60" t="str">
        <f>IF(Table2[[#This Row],[Counter Number]]="","","ULSD")</f>
        <v/>
      </c>
      <c r="AC17" s="167" t="str">
        <f>IF(Table2[[#This Row],[Counter Number]]="","",Table2[[#This Row],[Annual Miles Traveled:]]/Table1[[#This Row],[Old Fuel (mpg)]])</f>
        <v/>
      </c>
      <c r="AD17" s="60" t="str">
        <f>IF(Table2[[#This Row],[Counter Number]]="","","NA")</f>
        <v/>
      </c>
      <c r="AE17" s="168" t="str">
        <f>IF(Table2[[#This Row],[Counter Number]]="","",Table1[[#This Row],[Annual Miles Traveled]])</f>
        <v/>
      </c>
      <c r="AF17" s="169" t="str">
        <f>IF(Table2[[#This Row],[Counter Number]]="","",Table1[[#This Row],[Annual Idling Hours:]])</f>
        <v/>
      </c>
      <c r="AG17" s="60" t="str">
        <f>IF(Table2[[#This Row],[Counter Number]]="","","NA")</f>
        <v/>
      </c>
      <c r="AH17" s="165" t="str">
        <f>IF(Table2[[#This Row],[Counter Number]]="","",IF(Application!$J$25="Set Policy",Table1[[#This Row],[Remaining Life (years)         Set Policy]],Table1[[#This Row],[Remaining Life (years)               Case-by-Case]]))</f>
        <v/>
      </c>
      <c r="AI17" s="165" t="str">
        <f>IF(Table2[[#This Row],[Counter Number]]="","",IF(Application!$J$25="Case-by-Case","NA",Table2[[#This Row],[Fiscal Year of EPA Funds Used:]]+Table2[[#This Row],[Remaining Life:]]))</f>
        <v/>
      </c>
      <c r="AJ17" s="165"/>
      <c r="AK17" s="170" t="str">
        <f>IF(Table2[[#This Row],[Counter Number]]="","",Application!$D$14+1)</f>
        <v/>
      </c>
      <c r="AL17" s="60" t="str">
        <f>IF(Table2[[#This Row],[Counter Number]]="","","Vehicle Replacement")</f>
        <v/>
      </c>
      <c r="AM1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 s="171" t="str">
        <f>IF(Table2[[#This Row],[Counter Number]]="","",Table1[[#This Row],[Cost of New Bus:]])</f>
        <v/>
      </c>
      <c r="AO17" s="60" t="str">
        <f>IF(Table2[[#This Row],[Counter Number]]="","","NA")</f>
        <v/>
      </c>
      <c r="AP17" s="165" t="str">
        <f>IF(Table2[[#This Row],[Counter Number]]="","",Table1[[#This Row],[New Engine Model Year:]])</f>
        <v/>
      </c>
      <c r="AQ17" s="60" t="str">
        <f>IF(Table2[[#This Row],[Counter Number]]="","","NA")</f>
        <v/>
      </c>
      <c r="AR17" s="165" t="str">
        <f>IF(Table2[[#This Row],[Counter Number]]="","",Table1[[#This Row],[New Engine Horsepower (HP):]])</f>
        <v/>
      </c>
      <c r="AS17" s="60" t="str">
        <f>IF(Table2[[#This Row],[Counter Number]]="","","NA")</f>
        <v/>
      </c>
      <c r="AT17" s="165" t="str">
        <f>IF(Table2[[#This Row],[Counter Number]]="","",Table1[[#This Row],[New Engine Cylinder Displacement (L):]]&amp;" L")</f>
        <v/>
      </c>
      <c r="AU17" s="114" t="str">
        <f>IF(Table2[[#This Row],[Counter Number]]="","",Table1[[#This Row],[New Engine Number of Cylinders:]])</f>
        <v/>
      </c>
      <c r="AV17" s="60" t="str">
        <f>IF(Table2[[#This Row],[Counter Number]]="","",Table1[[#This Row],[New Engine Family Name:]])</f>
        <v/>
      </c>
      <c r="AW1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 s="60" t="str">
        <f>IF(Table2[[#This Row],[Counter Number]]="","","NA")</f>
        <v/>
      </c>
      <c r="AY17" s="172" t="str">
        <f>IF(Table2[[#This Row],[Counter Number]]="","",IF(Table2[[#This Row],[New Engine Fuel Type:]]="ULSD",Table1[[#This Row],[Annual Miles Traveled]]/Table1[[#This Row],[New Fuel (mpg) if Diesel]],""))</f>
        <v/>
      </c>
      <c r="AZ17" s="60"/>
      <c r="BA17" s="173" t="str">
        <f>IF(Table2[[#This Row],[Counter Number]]="","",Table2[[#This Row],[Annual Miles Traveled:]]*VLOOKUP(Table2[[#This Row],[Engine Model Year:]],EFTable[],3,FALSE))</f>
        <v/>
      </c>
      <c r="BB17" s="173" t="str">
        <f>IF(Table2[[#This Row],[Counter Number]]="","",Table2[[#This Row],[Annual Miles Traveled:]]*IF(Table2[[#This Row],[New Engine Fuel Type:]]="ULSD",VLOOKUP(Table2[[#This Row],[New Engine Model Year:]],EFTable[],3,FALSE),VLOOKUP(Table2[[#This Row],[New Engine Fuel Type:]],EFTable[],3,FALSE)))</f>
        <v/>
      </c>
      <c r="BC17" s="187" t="str">
        <f>IF(Table2[[#This Row],[Counter Number]]="","",Table2[[#This Row],[Old Bus NOx Emissions (tons/yr)]]-Table2[[#This Row],[New Bus NOx Emissions (tons/yr)]])</f>
        <v/>
      </c>
      <c r="BD17" s="188" t="str">
        <f>IF(Table2[[#This Row],[Counter Number]]="","",Table2[[#This Row],[Reduction Bus NOx Emissions (tons/yr)]]/Table2[[#This Row],[Old Bus NOx Emissions (tons/yr)]])</f>
        <v/>
      </c>
      <c r="BE17" s="175" t="str">
        <f>IF(Table2[[#This Row],[Counter Number]]="","",Table2[[#This Row],[Reduction Bus NOx Emissions (tons/yr)]]*Table2[[#This Row],[Remaining Life:]])</f>
        <v/>
      </c>
      <c r="BF17" s="189" t="str">
        <f>IF(Table2[[#This Row],[Counter Number]]="","",IF(Table2[[#This Row],[Lifetime NOx Reduction (tons)]]=0,"NA",Table2[[#This Row],[Upgrade Cost Per Unit]]/Table2[[#This Row],[Lifetime NOx Reduction (tons)]]))</f>
        <v/>
      </c>
      <c r="BG17" s="190" t="str">
        <f>IF(Table2[[#This Row],[Counter Number]]="","",Table2[[#This Row],[Annual Miles Traveled:]]*VLOOKUP(Table2[[#This Row],[Engine Model Year:]],EF!$A$2:$G$27,4,FALSE))</f>
        <v/>
      </c>
      <c r="BH17" s="173" t="str">
        <f>IF(Table2[[#This Row],[Counter Number]]="","",Table2[[#This Row],[Annual Miles Traveled:]]*IF(Table2[[#This Row],[New Engine Fuel Type:]]="ULSD",VLOOKUP(Table2[[#This Row],[New Engine Model Year:]],EFTable[],4,FALSE),VLOOKUP(Table2[[#This Row],[New Engine Fuel Type:]],EFTable[],4,FALSE)))</f>
        <v/>
      </c>
      <c r="BI17" s="191" t="str">
        <f>IF(Table2[[#This Row],[Counter Number]]="","",Table2[[#This Row],[Old Bus PM2.5 Emissions (tons/yr)]]-Table2[[#This Row],[New Bus PM2.5 Emissions (tons/yr)]])</f>
        <v/>
      </c>
      <c r="BJ17" s="192" t="str">
        <f>IF(Table2[[#This Row],[Counter Number]]="","",Table2[[#This Row],[Reduction Bus PM2.5 Emissions (tons/yr)]]/Table2[[#This Row],[Old Bus PM2.5 Emissions (tons/yr)]])</f>
        <v/>
      </c>
      <c r="BK17" s="193" t="str">
        <f>IF(Table2[[#This Row],[Counter Number]]="","",Table2[[#This Row],[Reduction Bus PM2.5 Emissions (tons/yr)]]*Table2[[#This Row],[Remaining Life:]])</f>
        <v/>
      </c>
      <c r="BL17" s="194" t="str">
        <f>IF(Table2[[#This Row],[Counter Number]]="","",IF(Table2[[#This Row],[Lifetime PM2.5 Reduction (tons)]]=0,"NA",Table2[[#This Row],[Upgrade Cost Per Unit]]/Table2[[#This Row],[Lifetime PM2.5 Reduction (tons)]]))</f>
        <v/>
      </c>
      <c r="BM17" s="179" t="str">
        <f>IF(Table2[[#This Row],[Counter Number]]="","",Table2[[#This Row],[Annual Miles Traveled:]]*VLOOKUP(Table2[[#This Row],[Engine Model Year:]],EF!$A$2:$G$40,5,FALSE))</f>
        <v/>
      </c>
      <c r="BN17" s="173" t="str">
        <f>IF(Table2[[#This Row],[Counter Number]]="","",Table2[[#This Row],[Annual Miles Traveled:]]*IF(Table2[[#This Row],[New Engine Fuel Type:]]="ULSD",VLOOKUP(Table2[[#This Row],[New Engine Model Year:]],EFTable[],5,FALSE),VLOOKUP(Table2[[#This Row],[New Engine Fuel Type:]],EFTable[],5,FALSE)))</f>
        <v/>
      </c>
      <c r="BO17" s="190" t="str">
        <f>IF(Table2[[#This Row],[Counter Number]]="","",Table2[[#This Row],[Old Bus HC Emissions (tons/yr)]]-Table2[[#This Row],[New Bus HC Emissions (tons/yr)]])</f>
        <v/>
      </c>
      <c r="BP17" s="188" t="str">
        <f>IF(Table2[[#This Row],[Counter Number]]="","",Table2[[#This Row],[Reduction Bus HC Emissions (tons/yr)]]/Table2[[#This Row],[Old Bus HC Emissions (tons/yr)]])</f>
        <v/>
      </c>
      <c r="BQ17" s="193" t="str">
        <f>IF(Table2[[#This Row],[Counter Number]]="","",Table2[[#This Row],[Reduction Bus HC Emissions (tons/yr)]]*Table2[[#This Row],[Remaining Life:]])</f>
        <v/>
      </c>
      <c r="BR17" s="194" t="str">
        <f>IF(Table2[[#This Row],[Counter Number]]="","",IF(Table2[[#This Row],[Lifetime HC Reduction (tons)]]=0,"NA",Table2[[#This Row],[Upgrade Cost Per Unit]]/Table2[[#This Row],[Lifetime HC Reduction (tons)]]))</f>
        <v/>
      </c>
      <c r="BS17" s="191" t="str">
        <f>IF(Table2[[#This Row],[Counter Number]]="","",Table2[[#This Row],[Annual Miles Traveled:]]*VLOOKUP(Table2[[#This Row],[Engine Model Year:]],EF!$A$2:$G$27,6,FALSE))</f>
        <v/>
      </c>
      <c r="BT17" s="173" t="str">
        <f>IF(Table2[[#This Row],[Counter Number]]="","",Table2[[#This Row],[Annual Miles Traveled:]]*IF(Table2[[#This Row],[New Engine Fuel Type:]]="ULSD",VLOOKUP(Table2[[#This Row],[New Engine Model Year:]],EFTable[],6,FALSE),VLOOKUP(Table2[[#This Row],[New Engine Fuel Type:]],EFTable[],6,FALSE)))</f>
        <v/>
      </c>
      <c r="BU17" s="190" t="str">
        <f>IF(Table2[[#This Row],[Counter Number]]="","",Table2[[#This Row],[Old Bus CO Emissions (tons/yr)]]-Table2[[#This Row],[New Bus CO Emissions (tons/yr)]])</f>
        <v/>
      </c>
      <c r="BV17" s="188" t="str">
        <f>IF(Table2[[#This Row],[Counter Number]]="","",Table2[[#This Row],[Reduction Bus CO Emissions (tons/yr)]]/Table2[[#This Row],[Old Bus CO Emissions (tons/yr)]])</f>
        <v/>
      </c>
      <c r="BW17" s="193" t="str">
        <f>IF(Table2[[#This Row],[Counter Number]]="","",Table2[[#This Row],[Reduction Bus CO Emissions (tons/yr)]]*Table2[[#This Row],[Remaining Life:]])</f>
        <v/>
      </c>
      <c r="BX17" s="194" t="str">
        <f>IF(Table2[[#This Row],[Counter Number]]="","",IF(Table2[[#This Row],[Lifetime CO Reduction (tons)]]=0,"NA",Table2[[#This Row],[Upgrade Cost Per Unit]]/Table2[[#This Row],[Lifetime CO Reduction (tons)]]))</f>
        <v/>
      </c>
      <c r="BY17" s="180" t="str">
        <f>IF(Table2[[#This Row],[Counter Number]]="","",Table2[[#This Row],[Old ULSD Used (gal):]]*VLOOKUP(Table2[[#This Row],[Engine Model Year:]],EF!$A$2:$G$27,7,FALSE))</f>
        <v/>
      </c>
      <c r="BZ1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 s="195" t="str">
        <f>IF(Table2[[#This Row],[Counter Number]]="","",Table2[[#This Row],[Old Bus CO2 Emissions (tons/yr)]]-Table2[[#This Row],[New Bus CO2 Emissions (tons/yr)]])</f>
        <v/>
      </c>
      <c r="CB17" s="188" t="str">
        <f>IF(Table2[[#This Row],[Counter Number]]="","",Table2[[#This Row],[Reduction Bus CO2 Emissions (tons/yr)]]/Table2[[#This Row],[Old Bus CO2 Emissions (tons/yr)]])</f>
        <v/>
      </c>
      <c r="CC17" s="195" t="str">
        <f>IF(Table2[[#This Row],[Counter Number]]="","",Table2[[#This Row],[Reduction Bus CO2 Emissions (tons/yr)]]*Table2[[#This Row],[Remaining Life:]])</f>
        <v/>
      </c>
      <c r="CD17" s="194" t="str">
        <f>IF(Table2[[#This Row],[Counter Number]]="","",IF(Table2[[#This Row],[Lifetime CO2 Reduction (tons)]]=0,"NA",Table2[[#This Row],[Upgrade Cost Per Unit]]/Table2[[#This Row],[Lifetime CO2 Reduction (tons)]]))</f>
        <v/>
      </c>
      <c r="CE17" s="182" t="str">
        <f>IF(Table2[[#This Row],[Counter Number]]="","",IF(Table2[[#This Row],[New ULSD Used (gal):]]="",Table2[[#This Row],[Old ULSD Used (gal):]],Table2[[#This Row],[Old ULSD Used (gal):]]-Table2[[#This Row],[New ULSD Used (gal):]]))</f>
        <v/>
      </c>
      <c r="CF17" s="196" t="str">
        <f>IF(Table2[[#This Row],[Counter Number]]="","",Table2[[#This Row],[Diesel Fuel Reduction (gal/yr)]]/Table2[[#This Row],[Old ULSD Used (gal):]])</f>
        <v/>
      </c>
      <c r="CG17" s="197" t="str">
        <f>IF(Table2[[#This Row],[Counter Number]]="","",Table2[[#This Row],[Diesel Fuel Reduction (gal/yr)]]*Table2[[#This Row],[Remaining Life:]])</f>
        <v/>
      </c>
    </row>
    <row r="18" spans="1:85" ht="15.45" customHeight="1">
      <c r="A18" s="184" t="str">
        <f>IF(A17&lt;Application!$D$24,A17+1,"")</f>
        <v/>
      </c>
      <c r="B18" s="60" t="str">
        <f>IF(Table2[[#This Row],[Counter Number]]="","",Application!$D$16)</f>
        <v/>
      </c>
      <c r="C18" s="60" t="str">
        <f>IF(Table2[[#This Row],[Counter Number]]="","",Application!$D$14)</f>
        <v/>
      </c>
      <c r="D18" s="60" t="str">
        <f>IF(Table2[[#This Row],[Counter Number]]="","",Table1[[#This Row],[Old Bus Number]])</f>
        <v/>
      </c>
      <c r="E18" s="60" t="str">
        <f>IF(Table2[[#This Row],[Counter Number]]="","",Application!$D$15)</f>
        <v/>
      </c>
      <c r="F18" s="60" t="str">
        <f>IF(Table2[[#This Row],[Counter Number]]="","","On Highway")</f>
        <v/>
      </c>
      <c r="G18" s="60" t="str">
        <f>IF(Table2[[#This Row],[Counter Number]]="","",I18)</f>
        <v/>
      </c>
      <c r="H18" s="60" t="str">
        <f>IF(Table2[[#This Row],[Counter Number]]="","","Georgia")</f>
        <v/>
      </c>
      <c r="I18" s="60" t="str">
        <f>IF(Table2[[#This Row],[Counter Number]]="","",Application!$D$16)</f>
        <v/>
      </c>
      <c r="J18" s="60" t="str">
        <f>IF(Table2[[#This Row],[Counter Number]]="","",Application!$D$21)</f>
        <v/>
      </c>
      <c r="K18" s="60" t="str">
        <f>IF(Table2[[#This Row],[Counter Number]]="","",Application!$J$21)</f>
        <v/>
      </c>
      <c r="L18" s="60" t="str">
        <f>IF(Table2[[#This Row],[Counter Number]]="","","School Bus")</f>
        <v/>
      </c>
      <c r="M18" s="60" t="str">
        <f>IF(Table2[[#This Row],[Counter Number]]="","","School Bus")</f>
        <v/>
      </c>
      <c r="N18" s="60" t="str">
        <f>IF(Table2[[#This Row],[Counter Number]]="","",1)</f>
        <v/>
      </c>
      <c r="O18" s="60" t="str">
        <f>IF(Table2[[#This Row],[Counter Number]]="","",Table1[[#This Row],[Vehicle Identification Number(s):]])</f>
        <v/>
      </c>
      <c r="P18" s="60" t="str">
        <f>IF(Table2[[#This Row],[Counter Number]]="","",Table1[[#This Row],[Old Bus Manufacturer:]])</f>
        <v/>
      </c>
      <c r="Q18" s="60" t="str">
        <f>IF(Table2[[#This Row],[Counter Number]]="","",Table1[[#This Row],[Vehicle Model:]])</f>
        <v/>
      </c>
      <c r="R18" s="165" t="str">
        <f>IF(Table2[[#This Row],[Counter Number]]="","",Table1[[#This Row],[Vehicle Model Year:]])</f>
        <v/>
      </c>
      <c r="S18" s="60" t="str">
        <f>IF(Table2[[#This Row],[Counter Number]]="","",Table1[[#This Row],[Engine Serial Number(s):]])</f>
        <v/>
      </c>
      <c r="T18" s="60" t="str">
        <f>IF(Table2[[#This Row],[Counter Number]]="","",Table1[[#This Row],[Engine Make:]])</f>
        <v/>
      </c>
      <c r="U18" s="60" t="str">
        <f>IF(Table2[[#This Row],[Counter Number]]="","",Table1[[#This Row],[Engine Model:]])</f>
        <v/>
      </c>
      <c r="V18" s="165" t="str">
        <f>IF(Table2[[#This Row],[Counter Number]]="","",Table1[[#This Row],[Engine Model Year:]])</f>
        <v/>
      </c>
      <c r="W18" s="60" t="str">
        <f>IF(Table2[[#This Row],[Counter Number]]="","","NA")</f>
        <v/>
      </c>
      <c r="X18" s="165" t="str">
        <f>IF(Table2[[#This Row],[Counter Number]]="","",Table1[[#This Row],[Engine Horsepower (HP):]])</f>
        <v/>
      </c>
      <c r="Y18" s="165" t="str">
        <f>IF(Table2[[#This Row],[Counter Number]]="","",Table1[[#This Row],[Engine Cylinder Displacement (L):]]&amp;" L")</f>
        <v/>
      </c>
      <c r="Z18" s="165" t="str">
        <f>IF(Table2[[#This Row],[Counter Number]]="","",Table1[[#This Row],[Engine Number of Cylinders:]])</f>
        <v/>
      </c>
      <c r="AA18" s="166" t="str">
        <f>IF(Table2[[#This Row],[Counter Number]]="","",Table1[[#This Row],[Engine Family Name:]])</f>
        <v/>
      </c>
      <c r="AB18" s="60" t="str">
        <f>IF(Table2[[#This Row],[Counter Number]]="","","ULSD")</f>
        <v/>
      </c>
      <c r="AC18" s="167" t="str">
        <f>IF(Table2[[#This Row],[Counter Number]]="","",Table2[[#This Row],[Annual Miles Traveled:]]/Table1[[#This Row],[Old Fuel (mpg)]])</f>
        <v/>
      </c>
      <c r="AD18" s="60" t="str">
        <f>IF(Table2[[#This Row],[Counter Number]]="","","NA")</f>
        <v/>
      </c>
      <c r="AE18" s="168" t="str">
        <f>IF(Table2[[#This Row],[Counter Number]]="","",Table1[[#This Row],[Annual Miles Traveled]])</f>
        <v/>
      </c>
      <c r="AF18" s="169" t="str">
        <f>IF(Table2[[#This Row],[Counter Number]]="","",Table1[[#This Row],[Annual Idling Hours:]])</f>
        <v/>
      </c>
      <c r="AG18" s="60" t="str">
        <f>IF(Table2[[#This Row],[Counter Number]]="","","NA")</f>
        <v/>
      </c>
      <c r="AH18" s="165" t="str">
        <f>IF(Table2[[#This Row],[Counter Number]]="","",IF(Application!$J$25="Set Policy",Table1[[#This Row],[Remaining Life (years)         Set Policy]],Table1[[#This Row],[Remaining Life (years)               Case-by-Case]]))</f>
        <v/>
      </c>
      <c r="AI18" s="165" t="str">
        <f>IF(Table2[[#This Row],[Counter Number]]="","",IF(Application!$J$25="Case-by-Case","NA",Table2[[#This Row],[Fiscal Year of EPA Funds Used:]]+Table2[[#This Row],[Remaining Life:]]))</f>
        <v/>
      </c>
      <c r="AJ18" s="165"/>
      <c r="AK18" s="170" t="str">
        <f>IF(Table2[[#This Row],[Counter Number]]="","",Application!$D$14+1)</f>
        <v/>
      </c>
      <c r="AL18" s="60" t="str">
        <f>IF(Table2[[#This Row],[Counter Number]]="","","Vehicle Replacement")</f>
        <v/>
      </c>
      <c r="AM1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 s="171" t="str">
        <f>IF(Table2[[#This Row],[Counter Number]]="","",Table1[[#This Row],[Cost of New Bus:]])</f>
        <v/>
      </c>
      <c r="AO18" s="60" t="str">
        <f>IF(Table2[[#This Row],[Counter Number]]="","","NA")</f>
        <v/>
      </c>
      <c r="AP18" s="165" t="str">
        <f>IF(Table2[[#This Row],[Counter Number]]="","",Table1[[#This Row],[New Engine Model Year:]])</f>
        <v/>
      </c>
      <c r="AQ18" s="60" t="str">
        <f>IF(Table2[[#This Row],[Counter Number]]="","","NA")</f>
        <v/>
      </c>
      <c r="AR18" s="165" t="str">
        <f>IF(Table2[[#This Row],[Counter Number]]="","",Table1[[#This Row],[New Engine Horsepower (HP):]])</f>
        <v/>
      </c>
      <c r="AS18" s="60" t="str">
        <f>IF(Table2[[#This Row],[Counter Number]]="","","NA")</f>
        <v/>
      </c>
      <c r="AT18" s="165" t="str">
        <f>IF(Table2[[#This Row],[Counter Number]]="","",Table1[[#This Row],[New Engine Cylinder Displacement (L):]]&amp;" L")</f>
        <v/>
      </c>
      <c r="AU18" s="114" t="str">
        <f>IF(Table2[[#This Row],[Counter Number]]="","",Table1[[#This Row],[New Engine Number of Cylinders:]])</f>
        <v/>
      </c>
      <c r="AV18" s="60" t="str">
        <f>IF(Table2[[#This Row],[Counter Number]]="","",Table1[[#This Row],[New Engine Family Name:]])</f>
        <v/>
      </c>
      <c r="AW1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 s="60" t="str">
        <f>IF(Table2[[#This Row],[Counter Number]]="","","NA")</f>
        <v/>
      </c>
      <c r="AY18" s="172" t="str">
        <f>IF(Table2[[#This Row],[Counter Number]]="","",IF(Table2[[#This Row],[New Engine Fuel Type:]]="ULSD",Table1[[#This Row],[Annual Miles Traveled]]/Table1[[#This Row],[New Fuel (mpg) if Diesel]],""))</f>
        <v/>
      </c>
      <c r="AZ18" s="60"/>
      <c r="BA18" s="173" t="str">
        <f>IF(Table2[[#This Row],[Counter Number]]="","",Table2[[#This Row],[Annual Miles Traveled:]]*VLOOKUP(Table2[[#This Row],[Engine Model Year:]],EFTable[],3,FALSE))</f>
        <v/>
      </c>
      <c r="BB18" s="173" t="str">
        <f>IF(Table2[[#This Row],[Counter Number]]="","",Table2[[#This Row],[Annual Miles Traveled:]]*IF(Table2[[#This Row],[New Engine Fuel Type:]]="ULSD",VLOOKUP(Table2[[#This Row],[New Engine Model Year:]],EFTable[],3,FALSE),VLOOKUP(Table2[[#This Row],[New Engine Fuel Type:]],EFTable[],3,FALSE)))</f>
        <v/>
      </c>
      <c r="BC18" s="187" t="str">
        <f>IF(Table2[[#This Row],[Counter Number]]="","",Table2[[#This Row],[Old Bus NOx Emissions (tons/yr)]]-Table2[[#This Row],[New Bus NOx Emissions (tons/yr)]])</f>
        <v/>
      </c>
      <c r="BD18" s="188" t="str">
        <f>IF(Table2[[#This Row],[Counter Number]]="","",Table2[[#This Row],[Reduction Bus NOx Emissions (tons/yr)]]/Table2[[#This Row],[Old Bus NOx Emissions (tons/yr)]])</f>
        <v/>
      </c>
      <c r="BE18" s="175" t="str">
        <f>IF(Table2[[#This Row],[Counter Number]]="","",Table2[[#This Row],[Reduction Bus NOx Emissions (tons/yr)]]*Table2[[#This Row],[Remaining Life:]])</f>
        <v/>
      </c>
      <c r="BF18" s="189" t="str">
        <f>IF(Table2[[#This Row],[Counter Number]]="","",IF(Table2[[#This Row],[Lifetime NOx Reduction (tons)]]=0,"NA",Table2[[#This Row],[Upgrade Cost Per Unit]]/Table2[[#This Row],[Lifetime NOx Reduction (tons)]]))</f>
        <v/>
      </c>
      <c r="BG18" s="190" t="str">
        <f>IF(Table2[[#This Row],[Counter Number]]="","",Table2[[#This Row],[Annual Miles Traveled:]]*VLOOKUP(Table2[[#This Row],[Engine Model Year:]],EF!$A$2:$G$27,4,FALSE))</f>
        <v/>
      </c>
      <c r="BH18" s="173" t="str">
        <f>IF(Table2[[#This Row],[Counter Number]]="","",Table2[[#This Row],[Annual Miles Traveled:]]*IF(Table2[[#This Row],[New Engine Fuel Type:]]="ULSD",VLOOKUP(Table2[[#This Row],[New Engine Model Year:]],EFTable[],4,FALSE),VLOOKUP(Table2[[#This Row],[New Engine Fuel Type:]],EFTable[],4,FALSE)))</f>
        <v/>
      </c>
      <c r="BI18" s="191" t="str">
        <f>IF(Table2[[#This Row],[Counter Number]]="","",Table2[[#This Row],[Old Bus PM2.5 Emissions (tons/yr)]]-Table2[[#This Row],[New Bus PM2.5 Emissions (tons/yr)]])</f>
        <v/>
      </c>
      <c r="BJ18" s="192" t="str">
        <f>IF(Table2[[#This Row],[Counter Number]]="","",Table2[[#This Row],[Reduction Bus PM2.5 Emissions (tons/yr)]]/Table2[[#This Row],[Old Bus PM2.5 Emissions (tons/yr)]])</f>
        <v/>
      </c>
      <c r="BK18" s="193" t="str">
        <f>IF(Table2[[#This Row],[Counter Number]]="","",Table2[[#This Row],[Reduction Bus PM2.5 Emissions (tons/yr)]]*Table2[[#This Row],[Remaining Life:]])</f>
        <v/>
      </c>
      <c r="BL18" s="194" t="str">
        <f>IF(Table2[[#This Row],[Counter Number]]="","",IF(Table2[[#This Row],[Lifetime PM2.5 Reduction (tons)]]=0,"NA",Table2[[#This Row],[Upgrade Cost Per Unit]]/Table2[[#This Row],[Lifetime PM2.5 Reduction (tons)]]))</f>
        <v/>
      </c>
      <c r="BM18" s="179" t="str">
        <f>IF(Table2[[#This Row],[Counter Number]]="","",Table2[[#This Row],[Annual Miles Traveled:]]*VLOOKUP(Table2[[#This Row],[Engine Model Year:]],EF!$A$2:$G$40,5,FALSE))</f>
        <v/>
      </c>
      <c r="BN18" s="173" t="str">
        <f>IF(Table2[[#This Row],[Counter Number]]="","",Table2[[#This Row],[Annual Miles Traveled:]]*IF(Table2[[#This Row],[New Engine Fuel Type:]]="ULSD",VLOOKUP(Table2[[#This Row],[New Engine Model Year:]],EFTable[],5,FALSE),VLOOKUP(Table2[[#This Row],[New Engine Fuel Type:]],EFTable[],5,FALSE)))</f>
        <v/>
      </c>
      <c r="BO18" s="190" t="str">
        <f>IF(Table2[[#This Row],[Counter Number]]="","",Table2[[#This Row],[Old Bus HC Emissions (tons/yr)]]-Table2[[#This Row],[New Bus HC Emissions (tons/yr)]])</f>
        <v/>
      </c>
      <c r="BP18" s="188" t="str">
        <f>IF(Table2[[#This Row],[Counter Number]]="","",Table2[[#This Row],[Reduction Bus HC Emissions (tons/yr)]]/Table2[[#This Row],[Old Bus HC Emissions (tons/yr)]])</f>
        <v/>
      </c>
      <c r="BQ18" s="193" t="str">
        <f>IF(Table2[[#This Row],[Counter Number]]="","",Table2[[#This Row],[Reduction Bus HC Emissions (tons/yr)]]*Table2[[#This Row],[Remaining Life:]])</f>
        <v/>
      </c>
      <c r="BR18" s="194" t="str">
        <f>IF(Table2[[#This Row],[Counter Number]]="","",IF(Table2[[#This Row],[Lifetime HC Reduction (tons)]]=0,"NA",Table2[[#This Row],[Upgrade Cost Per Unit]]/Table2[[#This Row],[Lifetime HC Reduction (tons)]]))</f>
        <v/>
      </c>
      <c r="BS18" s="191" t="str">
        <f>IF(Table2[[#This Row],[Counter Number]]="","",Table2[[#This Row],[Annual Miles Traveled:]]*VLOOKUP(Table2[[#This Row],[Engine Model Year:]],EF!$A$2:$G$27,6,FALSE))</f>
        <v/>
      </c>
      <c r="BT18" s="173" t="str">
        <f>IF(Table2[[#This Row],[Counter Number]]="","",Table2[[#This Row],[Annual Miles Traveled:]]*IF(Table2[[#This Row],[New Engine Fuel Type:]]="ULSD",VLOOKUP(Table2[[#This Row],[New Engine Model Year:]],EFTable[],6,FALSE),VLOOKUP(Table2[[#This Row],[New Engine Fuel Type:]],EFTable[],6,FALSE)))</f>
        <v/>
      </c>
      <c r="BU18" s="190" t="str">
        <f>IF(Table2[[#This Row],[Counter Number]]="","",Table2[[#This Row],[Old Bus CO Emissions (tons/yr)]]-Table2[[#This Row],[New Bus CO Emissions (tons/yr)]])</f>
        <v/>
      </c>
      <c r="BV18" s="188" t="str">
        <f>IF(Table2[[#This Row],[Counter Number]]="","",Table2[[#This Row],[Reduction Bus CO Emissions (tons/yr)]]/Table2[[#This Row],[Old Bus CO Emissions (tons/yr)]])</f>
        <v/>
      </c>
      <c r="BW18" s="193" t="str">
        <f>IF(Table2[[#This Row],[Counter Number]]="","",Table2[[#This Row],[Reduction Bus CO Emissions (tons/yr)]]*Table2[[#This Row],[Remaining Life:]])</f>
        <v/>
      </c>
      <c r="BX18" s="194" t="str">
        <f>IF(Table2[[#This Row],[Counter Number]]="","",IF(Table2[[#This Row],[Lifetime CO Reduction (tons)]]=0,"NA",Table2[[#This Row],[Upgrade Cost Per Unit]]/Table2[[#This Row],[Lifetime CO Reduction (tons)]]))</f>
        <v/>
      </c>
      <c r="BY18" s="180" t="str">
        <f>IF(Table2[[#This Row],[Counter Number]]="","",Table2[[#This Row],[Old ULSD Used (gal):]]*VLOOKUP(Table2[[#This Row],[Engine Model Year:]],EF!$A$2:$G$27,7,FALSE))</f>
        <v/>
      </c>
      <c r="BZ1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 s="195" t="str">
        <f>IF(Table2[[#This Row],[Counter Number]]="","",Table2[[#This Row],[Old Bus CO2 Emissions (tons/yr)]]-Table2[[#This Row],[New Bus CO2 Emissions (tons/yr)]])</f>
        <v/>
      </c>
      <c r="CB18" s="188" t="str">
        <f>IF(Table2[[#This Row],[Counter Number]]="","",Table2[[#This Row],[Reduction Bus CO2 Emissions (tons/yr)]]/Table2[[#This Row],[Old Bus CO2 Emissions (tons/yr)]])</f>
        <v/>
      </c>
      <c r="CC18" s="195" t="str">
        <f>IF(Table2[[#This Row],[Counter Number]]="","",Table2[[#This Row],[Reduction Bus CO2 Emissions (tons/yr)]]*Table2[[#This Row],[Remaining Life:]])</f>
        <v/>
      </c>
      <c r="CD18" s="194" t="str">
        <f>IF(Table2[[#This Row],[Counter Number]]="","",IF(Table2[[#This Row],[Lifetime CO2 Reduction (tons)]]=0,"NA",Table2[[#This Row],[Upgrade Cost Per Unit]]/Table2[[#This Row],[Lifetime CO2 Reduction (tons)]]))</f>
        <v/>
      </c>
      <c r="CE18" s="182" t="str">
        <f>IF(Table2[[#This Row],[Counter Number]]="","",IF(Table2[[#This Row],[New ULSD Used (gal):]]="",Table2[[#This Row],[Old ULSD Used (gal):]],Table2[[#This Row],[Old ULSD Used (gal):]]-Table2[[#This Row],[New ULSD Used (gal):]]))</f>
        <v/>
      </c>
      <c r="CF18" s="196" t="str">
        <f>IF(Table2[[#This Row],[Counter Number]]="","",Table2[[#This Row],[Diesel Fuel Reduction (gal/yr)]]/Table2[[#This Row],[Old ULSD Used (gal):]])</f>
        <v/>
      </c>
      <c r="CG18" s="197" t="str">
        <f>IF(Table2[[#This Row],[Counter Number]]="","",Table2[[#This Row],[Diesel Fuel Reduction (gal/yr)]]*Table2[[#This Row],[Remaining Life:]])</f>
        <v/>
      </c>
    </row>
    <row r="19" spans="1:85" ht="15.45" customHeight="1">
      <c r="A19" s="184" t="str">
        <f>IF(A18&lt;Application!$D$24,A18+1,"")</f>
        <v/>
      </c>
      <c r="B19" s="60" t="str">
        <f>IF(Table2[[#This Row],[Counter Number]]="","",Application!$D$16)</f>
        <v/>
      </c>
      <c r="C19" s="60" t="str">
        <f>IF(Table2[[#This Row],[Counter Number]]="","",Application!$D$14)</f>
        <v/>
      </c>
      <c r="D19" s="60" t="str">
        <f>IF(Table2[[#This Row],[Counter Number]]="","",Table1[[#This Row],[Old Bus Number]])</f>
        <v/>
      </c>
      <c r="E19" s="60" t="str">
        <f>IF(Table2[[#This Row],[Counter Number]]="","",Application!$D$15)</f>
        <v/>
      </c>
      <c r="F19" s="60" t="str">
        <f>IF(Table2[[#This Row],[Counter Number]]="","","On Highway")</f>
        <v/>
      </c>
      <c r="G19" s="60" t="str">
        <f>IF(Table2[[#This Row],[Counter Number]]="","",I19)</f>
        <v/>
      </c>
      <c r="H19" s="60" t="str">
        <f>IF(Table2[[#This Row],[Counter Number]]="","","Georgia")</f>
        <v/>
      </c>
      <c r="I19" s="60" t="str">
        <f>IF(Table2[[#This Row],[Counter Number]]="","",Application!$D$16)</f>
        <v/>
      </c>
      <c r="J19" s="60" t="str">
        <f>IF(Table2[[#This Row],[Counter Number]]="","",Application!$D$21)</f>
        <v/>
      </c>
      <c r="K19" s="60" t="str">
        <f>IF(Table2[[#This Row],[Counter Number]]="","",Application!$J$21)</f>
        <v/>
      </c>
      <c r="L19" s="60" t="str">
        <f>IF(Table2[[#This Row],[Counter Number]]="","","School Bus")</f>
        <v/>
      </c>
      <c r="M19" s="60" t="str">
        <f>IF(Table2[[#This Row],[Counter Number]]="","","School Bus")</f>
        <v/>
      </c>
      <c r="N19" s="60" t="str">
        <f>IF(Table2[[#This Row],[Counter Number]]="","",1)</f>
        <v/>
      </c>
      <c r="O19" s="60" t="str">
        <f>IF(Table2[[#This Row],[Counter Number]]="","",Table1[[#This Row],[Vehicle Identification Number(s):]])</f>
        <v/>
      </c>
      <c r="P19" s="60" t="str">
        <f>IF(Table2[[#This Row],[Counter Number]]="","",Table1[[#This Row],[Old Bus Manufacturer:]])</f>
        <v/>
      </c>
      <c r="Q19" s="60" t="str">
        <f>IF(Table2[[#This Row],[Counter Number]]="","",Table1[[#This Row],[Vehicle Model:]])</f>
        <v/>
      </c>
      <c r="R19" s="165" t="str">
        <f>IF(Table2[[#This Row],[Counter Number]]="","",Table1[[#This Row],[Vehicle Model Year:]])</f>
        <v/>
      </c>
      <c r="S19" s="60" t="str">
        <f>IF(Table2[[#This Row],[Counter Number]]="","",Table1[[#This Row],[Engine Serial Number(s):]])</f>
        <v/>
      </c>
      <c r="T19" s="60" t="str">
        <f>IF(Table2[[#This Row],[Counter Number]]="","",Table1[[#This Row],[Engine Make:]])</f>
        <v/>
      </c>
      <c r="U19" s="60" t="str">
        <f>IF(Table2[[#This Row],[Counter Number]]="","",Table1[[#This Row],[Engine Model:]])</f>
        <v/>
      </c>
      <c r="V19" s="165" t="str">
        <f>IF(Table2[[#This Row],[Counter Number]]="","",Table1[[#This Row],[Engine Model Year:]])</f>
        <v/>
      </c>
      <c r="W19" s="60" t="str">
        <f>IF(Table2[[#This Row],[Counter Number]]="","","NA")</f>
        <v/>
      </c>
      <c r="X19" s="165" t="str">
        <f>IF(Table2[[#This Row],[Counter Number]]="","",Table1[[#This Row],[Engine Horsepower (HP):]])</f>
        <v/>
      </c>
      <c r="Y19" s="165" t="str">
        <f>IF(Table2[[#This Row],[Counter Number]]="","",Table1[[#This Row],[Engine Cylinder Displacement (L):]]&amp;" L")</f>
        <v/>
      </c>
      <c r="Z19" s="165" t="str">
        <f>IF(Table2[[#This Row],[Counter Number]]="","",Table1[[#This Row],[Engine Number of Cylinders:]])</f>
        <v/>
      </c>
      <c r="AA19" s="166" t="str">
        <f>IF(Table2[[#This Row],[Counter Number]]="","",Table1[[#This Row],[Engine Family Name:]])</f>
        <v/>
      </c>
      <c r="AB19" s="60" t="str">
        <f>IF(Table2[[#This Row],[Counter Number]]="","","ULSD")</f>
        <v/>
      </c>
      <c r="AC19" s="167" t="str">
        <f>IF(Table2[[#This Row],[Counter Number]]="","",Table2[[#This Row],[Annual Miles Traveled:]]/Table1[[#This Row],[Old Fuel (mpg)]])</f>
        <v/>
      </c>
      <c r="AD19" s="60" t="str">
        <f>IF(Table2[[#This Row],[Counter Number]]="","","NA")</f>
        <v/>
      </c>
      <c r="AE19" s="168" t="str">
        <f>IF(Table2[[#This Row],[Counter Number]]="","",Table1[[#This Row],[Annual Miles Traveled]])</f>
        <v/>
      </c>
      <c r="AF19" s="169" t="str">
        <f>IF(Table2[[#This Row],[Counter Number]]="","",Table1[[#This Row],[Annual Idling Hours:]])</f>
        <v/>
      </c>
      <c r="AG19" s="60" t="str">
        <f>IF(Table2[[#This Row],[Counter Number]]="","","NA")</f>
        <v/>
      </c>
      <c r="AH19" s="165" t="str">
        <f>IF(Table2[[#This Row],[Counter Number]]="","",IF(Application!$J$25="Set Policy",Table1[[#This Row],[Remaining Life (years)         Set Policy]],Table1[[#This Row],[Remaining Life (years)               Case-by-Case]]))</f>
        <v/>
      </c>
      <c r="AI19" s="165" t="str">
        <f>IF(Table2[[#This Row],[Counter Number]]="","",IF(Application!$J$25="Case-by-Case","NA",Table2[[#This Row],[Fiscal Year of EPA Funds Used:]]+Table2[[#This Row],[Remaining Life:]]))</f>
        <v/>
      </c>
      <c r="AJ19" s="165"/>
      <c r="AK19" s="170" t="str">
        <f>IF(Table2[[#This Row],[Counter Number]]="","",Application!$D$14+1)</f>
        <v/>
      </c>
      <c r="AL19" s="60" t="str">
        <f>IF(Table2[[#This Row],[Counter Number]]="","","Vehicle Replacement")</f>
        <v/>
      </c>
      <c r="AM1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 s="171" t="str">
        <f>IF(Table2[[#This Row],[Counter Number]]="","",Table1[[#This Row],[Cost of New Bus:]])</f>
        <v/>
      </c>
      <c r="AO19" s="60" t="str">
        <f>IF(Table2[[#This Row],[Counter Number]]="","","NA")</f>
        <v/>
      </c>
      <c r="AP19" s="165" t="str">
        <f>IF(Table2[[#This Row],[Counter Number]]="","",Table1[[#This Row],[New Engine Model Year:]])</f>
        <v/>
      </c>
      <c r="AQ19" s="60" t="str">
        <f>IF(Table2[[#This Row],[Counter Number]]="","","NA")</f>
        <v/>
      </c>
      <c r="AR19" s="165" t="str">
        <f>IF(Table2[[#This Row],[Counter Number]]="","",Table1[[#This Row],[New Engine Horsepower (HP):]])</f>
        <v/>
      </c>
      <c r="AS19" s="60" t="str">
        <f>IF(Table2[[#This Row],[Counter Number]]="","","NA")</f>
        <v/>
      </c>
      <c r="AT19" s="165" t="str">
        <f>IF(Table2[[#This Row],[Counter Number]]="","",Table1[[#This Row],[New Engine Cylinder Displacement (L):]]&amp;" L")</f>
        <v/>
      </c>
      <c r="AU19" s="114" t="str">
        <f>IF(Table2[[#This Row],[Counter Number]]="","",Table1[[#This Row],[New Engine Number of Cylinders:]])</f>
        <v/>
      </c>
      <c r="AV19" s="60" t="str">
        <f>IF(Table2[[#This Row],[Counter Number]]="","",Table1[[#This Row],[New Engine Family Name:]])</f>
        <v/>
      </c>
      <c r="AW1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 s="60" t="str">
        <f>IF(Table2[[#This Row],[Counter Number]]="","","NA")</f>
        <v/>
      </c>
      <c r="AY19" s="172" t="str">
        <f>IF(Table2[[#This Row],[Counter Number]]="","",IF(Table2[[#This Row],[New Engine Fuel Type:]]="ULSD",Table1[[#This Row],[Annual Miles Traveled]]/Table1[[#This Row],[New Fuel (mpg) if Diesel]],""))</f>
        <v/>
      </c>
      <c r="AZ19" s="60"/>
      <c r="BA19" s="173" t="str">
        <f>IF(Table2[[#This Row],[Counter Number]]="","",Table2[[#This Row],[Annual Miles Traveled:]]*VLOOKUP(Table2[[#This Row],[Engine Model Year:]],EFTable[],3,FALSE))</f>
        <v/>
      </c>
      <c r="BB19" s="173" t="str">
        <f>IF(Table2[[#This Row],[Counter Number]]="","",Table2[[#This Row],[Annual Miles Traveled:]]*IF(Table2[[#This Row],[New Engine Fuel Type:]]="ULSD",VLOOKUP(Table2[[#This Row],[New Engine Model Year:]],EFTable[],3,FALSE),VLOOKUP(Table2[[#This Row],[New Engine Fuel Type:]],EFTable[],3,FALSE)))</f>
        <v/>
      </c>
      <c r="BC19" s="187" t="str">
        <f>IF(Table2[[#This Row],[Counter Number]]="","",Table2[[#This Row],[Old Bus NOx Emissions (tons/yr)]]-Table2[[#This Row],[New Bus NOx Emissions (tons/yr)]])</f>
        <v/>
      </c>
      <c r="BD19" s="188" t="str">
        <f>IF(Table2[[#This Row],[Counter Number]]="","",Table2[[#This Row],[Reduction Bus NOx Emissions (tons/yr)]]/Table2[[#This Row],[Old Bus NOx Emissions (tons/yr)]])</f>
        <v/>
      </c>
      <c r="BE19" s="175" t="str">
        <f>IF(Table2[[#This Row],[Counter Number]]="","",Table2[[#This Row],[Reduction Bus NOx Emissions (tons/yr)]]*Table2[[#This Row],[Remaining Life:]])</f>
        <v/>
      </c>
      <c r="BF19" s="189" t="str">
        <f>IF(Table2[[#This Row],[Counter Number]]="","",IF(Table2[[#This Row],[Lifetime NOx Reduction (tons)]]=0,"NA",Table2[[#This Row],[Upgrade Cost Per Unit]]/Table2[[#This Row],[Lifetime NOx Reduction (tons)]]))</f>
        <v/>
      </c>
      <c r="BG19" s="190" t="str">
        <f>IF(Table2[[#This Row],[Counter Number]]="","",Table2[[#This Row],[Annual Miles Traveled:]]*VLOOKUP(Table2[[#This Row],[Engine Model Year:]],EF!$A$2:$G$27,4,FALSE))</f>
        <v/>
      </c>
      <c r="BH19" s="173" t="str">
        <f>IF(Table2[[#This Row],[Counter Number]]="","",Table2[[#This Row],[Annual Miles Traveled:]]*IF(Table2[[#This Row],[New Engine Fuel Type:]]="ULSD",VLOOKUP(Table2[[#This Row],[New Engine Model Year:]],EFTable[],4,FALSE),VLOOKUP(Table2[[#This Row],[New Engine Fuel Type:]],EFTable[],4,FALSE)))</f>
        <v/>
      </c>
      <c r="BI19" s="191" t="str">
        <f>IF(Table2[[#This Row],[Counter Number]]="","",Table2[[#This Row],[Old Bus PM2.5 Emissions (tons/yr)]]-Table2[[#This Row],[New Bus PM2.5 Emissions (tons/yr)]])</f>
        <v/>
      </c>
      <c r="BJ19" s="192" t="str">
        <f>IF(Table2[[#This Row],[Counter Number]]="","",Table2[[#This Row],[Reduction Bus PM2.5 Emissions (tons/yr)]]/Table2[[#This Row],[Old Bus PM2.5 Emissions (tons/yr)]])</f>
        <v/>
      </c>
      <c r="BK19" s="193" t="str">
        <f>IF(Table2[[#This Row],[Counter Number]]="","",Table2[[#This Row],[Reduction Bus PM2.5 Emissions (tons/yr)]]*Table2[[#This Row],[Remaining Life:]])</f>
        <v/>
      </c>
      <c r="BL19" s="194" t="str">
        <f>IF(Table2[[#This Row],[Counter Number]]="","",IF(Table2[[#This Row],[Lifetime PM2.5 Reduction (tons)]]=0,"NA",Table2[[#This Row],[Upgrade Cost Per Unit]]/Table2[[#This Row],[Lifetime PM2.5 Reduction (tons)]]))</f>
        <v/>
      </c>
      <c r="BM19" s="179" t="str">
        <f>IF(Table2[[#This Row],[Counter Number]]="","",Table2[[#This Row],[Annual Miles Traveled:]]*VLOOKUP(Table2[[#This Row],[Engine Model Year:]],EF!$A$2:$G$40,5,FALSE))</f>
        <v/>
      </c>
      <c r="BN19" s="173" t="str">
        <f>IF(Table2[[#This Row],[Counter Number]]="","",Table2[[#This Row],[Annual Miles Traveled:]]*IF(Table2[[#This Row],[New Engine Fuel Type:]]="ULSD",VLOOKUP(Table2[[#This Row],[New Engine Model Year:]],EFTable[],5,FALSE),VLOOKUP(Table2[[#This Row],[New Engine Fuel Type:]],EFTable[],5,FALSE)))</f>
        <v/>
      </c>
      <c r="BO19" s="190" t="str">
        <f>IF(Table2[[#This Row],[Counter Number]]="","",Table2[[#This Row],[Old Bus HC Emissions (tons/yr)]]-Table2[[#This Row],[New Bus HC Emissions (tons/yr)]])</f>
        <v/>
      </c>
      <c r="BP19" s="188" t="str">
        <f>IF(Table2[[#This Row],[Counter Number]]="","",Table2[[#This Row],[Reduction Bus HC Emissions (tons/yr)]]/Table2[[#This Row],[Old Bus HC Emissions (tons/yr)]])</f>
        <v/>
      </c>
      <c r="BQ19" s="193" t="str">
        <f>IF(Table2[[#This Row],[Counter Number]]="","",Table2[[#This Row],[Reduction Bus HC Emissions (tons/yr)]]*Table2[[#This Row],[Remaining Life:]])</f>
        <v/>
      </c>
      <c r="BR19" s="194" t="str">
        <f>IF(Table2[[#This Row],[Counter Number]]="","",IF(Table2[[#This Row],[Lifetime HC Reduction (tons)]]=0,"NA",Table2[[#This Row],[Upgrade Cost Per Unit]]/Table2[[#This Row],[Lifetime HC Reduction (tons)]]))</f>
        <v/>
      </c>
      <c r="BS19" s="191" t="str">
        <f>IF(Table2[[#This Row],[Counter Number]]="","",Table2[[#This Row],[Annual Miles Traveled:]]*VLOOKUP(Table2[[#This Row],[Engine Model Year:]],EF!$A$2:$G$27,6,FALSE))</f>
        <v/>
      </c>
      <c r="BT19" s="173" t="str">
        <f>IF(Table2[[#This Row],[Counter Number]]="","",Table2[[#This Row],[Annual Miles Traveled:]]*IF(Table2[[#This Row],[New Engine Fuel Type:]]="ULSD",VLOOKUP(Table2[[#This Row],[New Engine Model Year:]],EFTable[],6,FALSE),VLOOKUP(Table2[[#This Row],[New Engine Fuel Type:]],EFTable[],6,FALSE)))</f>
        <v/>
      </c>
      <c r="BU19" s="190" t="str">
        <f>IF(Table2[[#This Row],[Counter Number]]="","",Table2[[#This Row],[Old Bus CO Emissions (tons/yr)]]-Table2[[#This Row],[New Bus CO Emissions (tons/yr)]])</f>
        <v/>
      </c>
      <c r="BV19" s="188" t="str">
        <f>IF(Table2[[#This Row],[Counter Number]]="","",Table2[[#This Row],[Reduction Bus CO Emissions (tons/yr)]]/Table2[[#This Row],[Old Bus CO Emissions (tons/yr)]])</f>
        <v/>
      </c>
      <c r="BW19" s="193" t="str">
        <f>IF(Table2[[#This Row],[Counter Number]]="","",Table2[[#This Row],[Reduction Bus CO Emissions (tons/yr)]]*Table2[[#This Row],[Remaining Life:]])</f>
        <v/>
      </c>
      <c r="BX19" s="194" t="str">
        <f>IF(Table2[[#This Row],[Counter Number]]="","",IF(Table2[[#This Row],[Lifetime CO Reduction (tons)]]=0,"NA",Table2[[#This Row],[Upgrade Cost Per Unit]]/Table2[[#This Row],[Lifetime CO Reduction (tons)]]))</f>
        <v/>
      </c>
      <c r="BY19" s="180" t="str">
        <f>IF(Table2[[#This Row],[Counter Number]]="","",Table2[[#This Row],[Old ULSD Used (gal):]]*VLOOKUP(Table2[[#This Row],[Engine Model Year:]],EF!$A$2:$G$27,7,FALSE))</f>
        <v/>
      </c>
      <c r="BZ1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 s="195" t="str">
        <f>IF(Table2[[#This Row],[Counter Number]]="","",Table2[[#This Row],[Old Bus CO2 Emissions (tons/yr)]]-Table2[[#This Row],[New Bus CO2 Emissions (tons/yr)]])</f>
        <v/>
      </c>
      <c r="CB19" s="188" t="str">
        <f>IF(Table2[[#This Row],[Counter Number]]="","",Table2[[#This Row],[Reduction Bus CO2 Emissions (tons/yr)]]/Table2[[#This Row],[Old Bus CO2 Emissions (tons/yr)]])</f>
        <v/>
      </c>
      <c r="CC19" s="195" t="str">
        <f>IF(Table2[[#This Row],[Counter Number]]="","",Table2[[#This Row],[Reduction Bus CO2 Emissions (tons/yr)]]*Table2[[#This Row],[Remaining Life:]])</f>
        <v/>
      </c>
      <c r="CD19" s="194" t="str">
        <f>IF(Table2[[#This Row],[Counter Number]]="","",IF(Table2[[#This Row],[Lifetime CO2 Reduction (tons)]]=0,"NA",Table2[[#This Row],[Upgrade Cost Per Unit]]/Table2[[#This Row],[Lifetime CO2 Reduction (tons)]]))</f>
        <v/>
      </c>
      <c r="CE19" s="182" t="str">
        <f>IF(Table2[[#This Row],[Counter Number]]="","",IF(Table2[[#This Row],[New ULSD Used (gal):]]="",Table2[[#This Row],[Old ULSD Used (gal):]],Table2[[#This Row],[Old ULSD Used (gal):]]-Table2[[#This Row],[New ULSD Used (gal):]]))</f>
        <v/>
      </c>
      <c r="CF19" s="196" t="str">
        <f>IF(Table2[[#This Row],[Counter Number]]="","",Table2[[#This Row],[Diesel Fuel Reduction (gal/yr)]]/Table2[[#This Row],[Old ULSD Used (gal):]])</f>
        <v/>
      </c>
      <c r="CG19" s="197" t="str">
        <f>IF(Table2[[#This Row],[Counter Number]]="","",Table2[[#This Row],[Diesel Fuel Reduction (gal/yr)]]*Table2[[#This Row],[Remaining Life:]])</f>
        <v/>
      </c>
    </row>
    <row r="20" spans="1:85" ht="15.45" customHeight="1">
      <c r="A20" s="184" t="str">
        <f>IF(A19&lt;Application!$D$24,A19+1,"")</f>
        <v/>
      </c>
      <c r="B20" s="60" t="str">
        <f>IF(Table2[[#This Row],[Counter Number]]="","",Application!$D$16)</f>
        <v/>
      </c>
      <c r="C20" s="60" t="str">
        <f>IF(Table2[[#This Row],[Counter Number]]="","",Application!$D$14)</f>
        <v/>
      </c>
      <c r="D20" s="60" t="str">
        <f>IF(Table2[[#This Row],[Counter Number]]="","",Table1[[#This Row],[Old Bus Number]])</f>
        <v/>
      </c>
      <c r="E20" s="60" t="str">
        <f>IF(Table2[[#This Row],[Counter Number]]="","",Application!$D$15)</f>
        <v/>
      </c>
      <c r="F20" s="60" t="str">
        <f>IF(Table2[[#This Row],[Counter Number]]="","","On Highway")</f>
        <v/>
      </c>
      <c r="G20" s="60" t="str">
        <f>IF(Table2[[#This Row],[Counter Number]]="","",I20)</f>
        <v/>
      </c>
      <c r="H20" s="60" t="str">
        <f>IF(Table2[[#This Row],[Counter Number]]="","","Georgia")</f>
        <v/>
      </c>
      <c r="I20" s="60" t="str">
        <f>IF(Table2[[#This Row],[Counter Number]]="","",Application!$D$16)</f>
        <v/>
      </c>
      <c r="J20" s="60" t="str">
        <f>IF(Table2[[#This Row],[Counter Number]]="","",Application!$D$21)</f>
        <v/>
      </c>
      <c r="K20" s="60" t="str">
        <f>IF(Table2[[#This Row],[Counter Number]]="","",Application!$J$21)</f>
        <v/>
      </c>
      <c r="L20" s="60" t="str">
        <f>IF(Table2[[#This Row],[Counter Number]]="","","School Bus")</f>
        <v/>
      </c>
      <c r="M20" s="60" t="str">
        <f>IF(Table2[[#This Row],[Counter Number]]="","","School Bus")</f>
        <v/>
      </c>
      <c r="N20" s="60" t="str">
        <f>IF(Table2[[#This Row],[Counter Number]]="","",1)</f>
        <v/>
      </c>
      <c r="O20" s="60" t="str">
        <f>IF(Table2[[#This Row],[Counter Number]]="","",Table1[[#This Row],[Vehicle Identification Number(s):]])</f>
        <v/>
      </c>
      <c r="P20" s="60" t="str">
        <f>IF(Table2[[#This Row],[Counter Number]]="","",Table1[[#This Row],[Old Bus Manufacturer:]])</f>
        <v/>
      </c>
      <c r="Q20" s="60" t="str">
        <f>IF(Table2[[#This Row],[Counter Number]]="","",Table1[[#This Row],[Vehicle Model:]])</f>
        <v/>
      </c>
      <c r="R20" s="165" t="str">
        <f>IF(Table2[[#This Row],[Counter Number]]="","",Table1[[#This Row],[Vehicle Model Year:]])</f>
        <v/>
      </c>
      <c r="S20" s="60" t="str">
        <f>IF(Table2[[#This Row],[Counter Number]]="","",Table1[[#This Row],[Engine Serial Number(s):]])</f>
        <v/>
      </c>
      <c r="T20" s="60" t="str">
        <f>IF(Table2[[#This Row],[Counter Number]]="","",Table1[[#This Row],[Engine Make:]])</f>
        <v/>
      </c>
      <c r="U20" s="60" t="str">
        <f>IF(Table2[[#This Row],[Counter Number]]="","",Table1[[#This Row],[Engine Model:]])</f>
        <v/>
      </c>
      <c r="V20" s="165" t="str">
        <f>IF(Table2[[#This Row],[Counter Number]]="","",Table1[[#This Row],[Engine Model Year:]])</f>
        <v/>
      </c>
      <c r="W20" s="60" t="str">
        <f>IF(Table2[[#This Row],[Counter Number]]="","","NA")</f>
        <v/>
      </c>
      <c r="X20" s="165" t="str">
        <f>IF(Table2[[#This Row],[Counter Number]]="","",Table1[[#This Row],[Engine Horsepower (HP):]])</f>
        <v/>
      </c>
      <c r="Y20" s="165" t="str">
        <f>IF(Table2[[#This Row],[Counter Number]]="","",Table1[[#This Row],[Engine Cylinder Displacement (L):]]&amp;" L")</f>
        <v/>
      </c>
      <c r="Z20" s="165" t="str">
        <f>IF(Table2[[#This Row],[Counter Number]]="","",Table1[[#This Row],[Engine Number of Cylinders:]])</f>
        <v/>
      </c>
      <c r="AA20" s="166" t="str">
        <f>IF(Table2[[#This Row],[Counter Number]]="","",Table1[[#This Row],[Engine Family Name:]])</f>
        <v/>
      </c>
      <c r="AB20" s="60" t="str">
        <f>IF(Table2[[#This Row],[Counter Number]]="","","ULSD")</f>
        <v/>
      </c>
      <c r="AC20" s="167" t="str">
        <f>IF(Table2[[#This Row],[Counter Number]]="","",Table2[[#This Row],[Annual Miles Traveled:]]/Table1[[#This Row],[Old Fuel (mpg)]])</f>
        <v/>
      </c>
      <c r="AD20" s="60" t="str">
        <f>IF(Table2[[#This Row],[Counter Number]]="","","NA")</f>
        <v/>
      </c>
      <c r="AE20" s="168" t="str">
        <f>IF(Table2[[#This Row],[Counter Number]]="","",Table1[[#This Row],[Annual Miles Traveled]])</f>
        <v/>
      </c>
      <c r="AF20" s="169" t="str">
        <f>IF(Table2[[#This Row],[Counter Number]]="","",Table1[[#This Row],[Annual Idling Hours:]])</f>
        <v/>
      </c>
      <c r="AG20" s="60" t="str">
        <f>IF(Table2[[#This Row],[Counter Number]]="","","NA")</f>
        <v/>
      </c>
      <c r="AH20" s="165" t="str">
        <f>IF(Table2[[#This Row],[Counter Number]]="","",IF(Application!$J$25="Set Policy",Table1[[#This Row],[Remaining Life (years)         Set Policy]],Table1[[#This Row],[Remaining Life (years)               Case-by-Case]]))</f>
        <v/>
      </c>
      <c r="AI20" s="165" t="str">
        <f>IF(Table2[[#This Row],[Counter Number]]="","",IF(Application!$J$25="Case-by-Case","NA",Table2[[#This Row],[Fiscal Year of EPA Funds Used:]]+Table2[[#This Row],[Remaining Life:]]))</f>
        <v/>
      </c>
      <c r="AJ20" s="165"/>
      <c r="AK20" s="170" t="str">
        <f>IF(Table2[[#This Row],[Counter Number]]="","",Application!$D$14+1)</f>
        <v/>
      </c>
      <c r="AL20" s="60" t="str">
        <f>IF(Table2[[#This Row],[Counter Number]]="","","Vehicle Replacement")</f>
        <v/>
      </c>
      <c r="AM2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 s="171" t="str">
        <f>IF(Table2[[#This Row],[Counter Number]]="","",Table1[[#This Row],[Cost of New Bus:]])</f>
        <v/>
      </c>
      <c r="AO20" s="60" t="str">
        <f>IF(Table2[[#This Row],[Counter Number]]="","","NA")</f>
        <v/>
      </c>
      <c r="AP20" s="165" t="str">
        <f>IF(Table2[[#This Row],[Counter Number]]="","",Table1[[#This Row],[New Engine Model Year:]])</f>
        <v/>
      </c>
      <c r="AQ20" s="60" t="str">
        <f>IF(Table2[[#This Row],[Counter Number]]="","","NA")</f>
        <v/>
      </c>
      <c r="AR20" s="165" t="str">
        <f>IF(Table2[[#This Row],[Counter Number]]="","",Table1[[#This Row],[New Engine Horsepower (HP):]])</f>
        <v/>
      </c>
      <c r="AS20" s="60" t="str">
        <f>IF(Table2[[#This Row],[Counter Number]]="","","NA")</f>
        <v/>
      </c>
      <c r="AT20" s="165" t="str">
        <f>IF(Table2[[#This Row],[Counter Number]]="","",Table1[[#This Row],[New Engine Cylinder Displacement (L):]]&amp;" L")</f>
        <v/>
      </c>
      <c r="AU20" s="114" t="str">
        <f>IF(Table2[[#This Row],[Counter Number]]="","",Table1[[#This Row],[New Engine Number of Cylinders:]])</f>
        <v/>
      </c>
      <c r="AV20" s="60" t="str">
        <f>IF(Table2[[#This Row],[Counter Number]]="","",Table1[[#This Row],[New Engine Family Name:]])</f>
        <v/>
      </c>
      <c r="AW2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 s="60" t="str">
        <f>IF(Table2[[#This Row],[Counter Number]]="","","NA")</f>
        <v/>
      </c>
      <c r="AY20" s="172" t="str">
        <f>IF(Table2[[#This Row],[Counter Number]]="","",IF(Table2[[#This Row],[New Engine Fuel Type:]]="ULSD",Table1[[#This Row],[Annual Miles Traveled]]/Table1[[#This Row],[New Fuel (mpg) if Diesel]],""))</f>
        <v/>
      </c>
      <c r="AZ20" s="60"/>
      <c r="BA20" s="173" t="str">
        <f>IF(Table2[[#This Row],[Counter Number]]="","",Table2[[#This Row],[Annual Miles Traveled:]]*VLOOKUP(Table2[[#This Row],[Engine Model Year:]],EFTable[],3,FALSE))</f>
        <v/>
      </c>
      <c r="BB20" s="173" t="str">
        <f>IF(Table2[[#This Row],[Counter Number]]="","",Table2[[#This Row],[Annual Miles Traveled:]]*IF(Table2[[#This Row],[New Engine Fuel Type:]]="ULSD",VLOOKUP(Table2[[#This Row],[New Engine Model Year:]],EFTable[],3,FALSE),VLOOKUP(Table2[[#This Row],[New Engine Fuel Type:]],EFTable[],3,FALSE)))</f>
        <v/>
      </c>
      <c r="BC20" s="187" t="str">
        <f>IF(Table2[[#This Row],[Counter Number]]="","",Table2[[#This Row],[Old Bus NOx Emissions (tons/yr)]]-Table2[[#This Row],[New Bus NOx Emissions (tons/yr)]])</f>
        <v/>
      </c>
      <c r="BD20" s="188" t="str">
        <f>IF(Table2[[#This Row],[Counter Number]]="","",Table2[[#This Row],[Reduction Bus NOx Emissions (tons/yr)]]/Table2[[#This Row],[Old Bus NOx Emissions (tons/yr)]])</f>
        <v/>
      </c>
      <c r="BE20" s="175" t="str">
        <f>IF(Table2[[#This Row],[Counter Number]]="","",Table2[[#This Row],[Reduction Bus NOx Emissions (tons/yr)]]*Table2[[#This Row],[Remaining Life:]])</f>
        <v/>
      </c>
      <c r="BF20" s="189" t="str">
        <f>IF(Table2[[#This Row],[Counter Number]]="","",IF(Table2[[#This Row],[Lifetime NOx Reduction (tons)]]=0,"NA",Table2[[#This Row],[Upgrade Cost Per Unit]]/Table2[[#This Row],[Lifetime NOx Reduction (tons)]]))</f>
        <v/>
      </c>
      <c r="BG20" s="190" t="str">
        <f>IF(Table2[[#This Row],[Counter Number]]="","",Table2[[#This Row],[Annual Miles Traveled:]]*VLOOKUP(Table2[[#This Row],[Engine Model Year:]],EF!$A$2:$G$27,4,FALSE))</f>
        <v/>
      </c>
      <c r="BH20" s="173" t="str">
        <f>IF(Table2[[#This Row],[Counter Number]]="","",Table2[[#This Row],[Annual Miles Traveled:]]*IF(Table2[[#This Row],[New Engine Fuel Type:]]="ULSD",VLOOKUP(Table2[[#This Row],[New Engine Model Year:]],EFTable[],4,FALSE),VLOOKUP(Table2[[#This Row],[New Engine Fuel Type:]],EFTable[],4,FALSE)))</f>
        <v/>
      </c>
      <c r="BI20" s="191" t="str">
        <f>IF(Table2[[#This Row],[Counter Number]]="","",Table2[[#This Row],[Old Bus PM2.5 Emissions (tons/yr)]]-Table2[[#This Row],[New Bus PM2.5 Emissions (tons/yr)]])</f>
        <v/>
      </c>
      <c r="BJ20" s="192" t="str">
        <f>IF(Table2[[#This Row],[Counter Number]]="","",Table2[[#This Row],[Reduction Bus PM2.5 Emissions (tons/yr)]]/Table2[[#This Row],[Old Bus PM2.5 Emissions (tons/yr)]])</f>
        <v/>
      </c>
      <c r="BK20" s="193" t="str">
        <f>IF(Table2[[#This Row],[Counter Number]]="","",Table2[[#This Row],[Reduction Bus PM2.5 Emissions (tons/yr)]]*Table2[[#This Row],[Remaining Life:]])</f>
        <v/>
      </c>
      <c r="BL20" s="194" t="str">
        <f>IF(Table2[[#This Row],[Counter Number]]="","",IF(Table2[[#This Row],[Lifetime PM2.5 Reduction (tons)]]=0,"NA",Table2[[#This Row],[Upgrade Cost Per Unit]]/Table2[[#This Row],[Lifetime PM2.5 Reduction (tons)]]))</f>
        <v/>
      </c>
      <c r="BM20" s="179" t="str">
        <f>IF(Table2[[#This Row],[Counter Number]]="","",Table2[[#This Row],[Annual Miles Traveled:]]*VLOOKUP(Table2[[#This Row],[Engine Model Year:]],EF!$A$2:$G$40,5,FALSE))</f>
        <v/>
      </c>
      <c r="BN20" s="173" t="str">
        <f>IF(Table2[[#This Row],[Counter Number]]="","",Table2[[#This Row],[Annual Miles Traveled:]]*IF(Table2[[#This Row],[New Engine Fuel Type:]]="ULSD",VLOOKUP(Table2[[#This Row],[New Engine Model Year:]],EFTable[],5,FALSE),VLOOKUP(Table2[[#This Row],[New Engine Fuel Type:]],EFTable[],5,FALSE)))</f>
        <v/>
      </c>
      <c r="BO20" s="190" t="str">
        <f>IF(Table2[[#This Row],[Counter Number]]="","",Table2[[#This Row],[Old Bus HC Emissions (tons/yr)]]-Table2[[#This Row],[New Bus HC Emissions (tons/yr)]])</f>
        <v/>
      </c>
      <c r="BP20" s="188" t="str">
        <f>IF(Table2[[#This Row],[Counter Number]]="","",Table2[[#This Row],[Reduction Bus HC Emissions (tons/yr)]]/Table2[[#This Row],[Old Bus HC Emissions (tons/yr)]])</f>
        <v/>
      </c>
      <c r="BQ20" s="193" t="str">
        <f>IF(Table2[[#This Row],[Counter Number]]="","",Table2[[#This Row],[Reduction Bus HC Emissions (tons/yr)]]*Table2[[#This Row],[Remaining Life:]])</f>
        <v/>
      </c>
      <c r="BR20" s="194" t="str">
        <f>IF(Table2[[#This Row],[Counter Number]]="","",IF(Table2[[#This Row],[Lifetime HC Reduction (tons)]]=0,"NA",Table2[[#This Row],[Upgrade Cost Per Unit]]/Table2[[#This Row],[Lifetime HC Reduction (tons)]]))</f>
        <v/>
      </c>
      <c r="BS20" s="191" t="str">
        <f>IF(Table2[[#This Row],[Counter Number]]="","",Table2[[#This Row],[Annual Miles Traveled:]]*VLOOKUP(Table2[[#This Row],[Engine Model Year:]],EF!$A$2:$G$27,6,FALSE))</f>
        <v/>
      </c>
      <c r="BT20" s="173" t="str">
        <f>IF(Table2[[#This Row],[Counter Number]]="","",Table2[[#This Row],[Annual Miles Traveled:]]*IF(Table2[[#This Row],[New Engine Fuel Type:]]="ULSD",VLOOKUP(Table2[[#This Row],[New Engine Model Year:]],EFTable[],6,FALSE),VLOOKUP(Table2[[#This Row],[New Engine Fuel Type:]],EFTable[],6,FALSE)))</f>
        <v/>
      </c>
      <c r="BU20" s="190" t="str">
        <f>IF(Table2[[#This Row],[Counter Number]]="","",Table2[[#This Row],[Old Bus CO Emissions (tons/yr)]]-Table2[[#This Row],[New Bus CO Emissions (tons/yr)]])</f>
        <v/>
      </c>
      <c r="BV20" s="188" t="str">
        <f>IF(Table2[[#This Row],[Counter Number]]="","",Table2[[#This Row],[Reduction Bus CO Emissions (tons/yr)]]/Table2[[#This Row],[Old Bus CO Emissions (tons/yr)]])</f>
        <v/>
      </c>
      <c r="BW20" s="193" t="str">
        <f>IF(Table2[[#This Row],[Counter Number]]="","",Table2[[#This Row],[Reduction Bus CO Emissions (tons/yr)]]*Table2[[#This Row],[Remaining Life:]])</f>
        <v/>
      </c>
      <c r="BX20" s="194" t="str">
        <f>IF(Table2[[#This Row],[Counter Number]]="","",IF(Table2[[#This Row],[Lifetime CO Reduction (tons)]]=0,"NA",Table2[[#This Row],[Upgrade Cost Per Unit]]/Table2[[#This Row],[Lifetime CO Reduction (tons)]]))</f>
        <v/>
      </c>
      <c r="BY20" s="180" t="str">
        <f>IF(Table2[[#This Row],[Counter Number]]="","",Table2[[#This Row],[Old ULSD Used (gal):]]*VLOOKUP(Table2[[#This Row],[Engine Model Year:]],EF!$A$2:$G$27,7,FALSE))</f>
        <v/>
      </c>
      <c r="BZ2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 s="195" t="str">
        <f>IF(Table2[[#This Row],[Counter Number]]="","",Table2[[#This Row],[Old Bus CO2 Emissions (tons/yr)]]-Table2[[#This Row],[New Bus CO2 Emissions (tons/yr)]])</f>
        <v/>
      </c>
      <c r="CB20" s="188" t="str">
        <f>IF(Table2[[#This Row],[Counter Number]]="","",Table2[[#This Row],[Reduction Bus CO2 Emissions (tons/yr)]]/Table2[[#This Row],[Old Bus CO2 Emissions (tons/yr)]])</f>
        <v/>
      </c>
      <c r="CC20" s="195" t="str">
        <f>IF(Table2[[#This Row],[Counter Number]]="","",Table2[[#This Row],[Reduction Bus CO2 Emissions (tons/yr)]]*Table2[[#This Row],[Remaining Life:]])</f>
        <v/>
      </c>
      <c r="CD20" s="194" t="str">
        <f>IF(Table2[[#This Row],[Counter Number]]="","",IF(Table2[[#This Row],[Lifetime CO2 Reduction (tons)]]=0,"NA",Table2[[#This Row],[Upgrade Cost Per Unit]]/Table2[[#This Row],[Lifetime CO2 Reduction (tons)]]))</f>
        <v/>
      </c>
      <c r="CE20" s="182" t="str">
        <f>IF(Table2[[#This Row],[Counter Number]]="","",IF(Table2[[#This Row],[New ULSD Used (gal):]]="",Table2[[#This Row],[Old ULSD Used (gal):]],Table2[[#This Row],[Old ULSD Used (gal):]]-Table2[[#This Row],[New ULSD Used (gal):]]))</f>
        <v/>
      </c>
      <c r="CF20" s="196" t="str">
        <f>IF(Table2[[#This Row],[Counter Number]]="","",Table2[[#This Row],[Diesel Fuel Reduction (gal/yr)]]/Table2[[#This Row],[Old ULSD Used (gal):]])</f>
        <v/>
      </c>
      <c r="CG20" s="197" t="str">
        <f>IF(Table2[[#This Row],[Counter Number]]="","",Table2[[#This Row],[Diesel Fuel Reduction (gal/yr)]]*Table2[[#This Row],[Remaining Life:]])</f>
        <v/>
      </c>
    </row>
    <row r="21" spans="1:85" ht="15.45" customHeight="1">
      <c r="A21" s="184" t="str">
        <f>IF(A20&lt;Application!$D$24,A20+1,"")</f>
        <v/>
      </c>
      <c r="B21" s="60" t="str">
        <f>IF(Table2[[#This Row],[Counter Number]]="","",Application!$D$16)</f>
        <v/>
      </c>
      <c r="C21" s="60" t="str">
        <f>IF(Table2[[#This Row],[Counter Number]]="","",Application!$D$14)</f>
        <v/>
      </c>
      <c r="D21" s="60" t="str">
        <f>IF(Table2[[#This Row],[Counter Number]]="","",Table1[[#This Row],[Old Bus Number]])</f>
        <v/>
      </c>
      <c r="E21" s="60" t="str">
        <f>IF(Table2[[#This Row],[Counter Number]]="","",Application!$D$15)</f>
        <v/>
      </c>
      <c r="F21" s="60" t="str">
        <f>IF(Table2[[#This Row],[Counter Number]]="","","On Highway")</f>
        <v/>
      </c>
      <c r="G21" s="60" t="str">
        <f>IF(Table2[[#This Row],[Counter Number]]="","",I21)</f>
        <v/>
      </c>
      <c r="H21" s="60" t="str">
        <f>IF(Table2[[#This Row],[Counter Number]]="","","Georgia")</f>
        <v/>
      </c>
      <c r="I21" s="60" t="str">
        <f>IF(Table2[[#This Row],[Counter Number]]="","",Application!$D$16)</f>
        <v/>
      </c>
      <c r="J21" s="60" t="str">
        <f>IF(Table2[[#This Row],[Counter Number]]="","",Application!$D$21)</f>
        <v/>
      </c>
      <c r="K21" s="60" t="str">
        <f>IF(Table2[[#This Row],[Counter Number]]="","",Application!$J$21)</f>
        <v/>
      </c>
      <c r="L21" s="60" t="str">
        <f>IF(Table2[[#This Row],[Counter Number]]="","","School Bus")</f>
        <v/>
      </c>
      <c r="M21" s="60" t="str">
        <f>IF(Table2[[#This Row],[Counter Number]]="","","School Bus")</f>
        <v/>
      </c>
      <c r="N21" s="60" t="str">
        <f>IF(Table2[[#This Row],[Counter Number]]="","",1)</f>
        <v/>
      </c>
      <c r="O21" s="60" t="str">
        <f>IF(Table2[[#This Row],[Counter Number]]="","",Table1[[#This Row],[Vehicle Identification Number(s):]])</f>
        <v/>
      </c>
      <c r="P21" s="60" t="str">
        <f>IF(Table2[[#This Row],[Counter Number]]="","",Table1[[#This Row],[Old Bus Manufacturer:]])</f>
        <v/>
      </c>
      <c r="Q21" s="60" t="str">
        <f>IF(Table2[[#This Row],[Counter Number]]="","",Table1[[#This Row],[Vehicle Model:]])</f>
        <v/>
      </c>
      <c r="R21" s="165" t="str">
        <f>IF(Table2[[#This Row],[Counter Number]]="","",Table1[[#This Row],[Vehicle Model Year:]])</f>
        <v/>
      </c>
      <c r="S21" s="60" t="str">
        <f>IF(Table2[[#This Row],[Counter Number]]="","",Table1[[#This Row],[Engine Serial Number(s):]])</f>
        <v/>
      </c>
      <c r="T21" s="60" t="str">
        <f>IF(Table2[[#This Row],[Counter Number]]="","",Table1[[#This Row],[Engine Make:]])</f>
        <v/>
      </c>
      <c r="U21" s="60" t="str">
        <f>IF(Table2[[#This Row],[Counter Number]]="","",Table1[[#This Row],[Engine Model:]])</f>
        <v/>
      </c>
      <c r="V21" s="165" t="str">
        <f>IF(Table2[[#This Row],[Counter Number]]="","",Table1[[#This Row],[Engine Model Year:]])</f>
        <v/>
      </c>
      <c r="W21" s="60" t="str">
        <f>IF(Table2[[#This Row],[Counter Number]]="","","NA")</f>
        <v/>
      </c>
      <c r="X21" s="165" t="str">
        <f>IF(Table2[[#This Row],[Counter Number]]="","",Table1[[#This Row],[Engine Horsepower (HP):]])</f>
        <v/>
      </c>
      <c r="Y21" s="165" t="str">
        <f>IF(Table2[[#This Row],[Counter Number]]="","",Table1[[#This Row],[Engine Cylinder Displacement (L):]]&amp;" L")</f>
        <v/>
      </c>
      <c r="Z21" s="165" t="str">
        <f>IF(Table2[[#This Row],[Counter Number]]="","",Table1[[#This Row],[Engine Number of Cylinders:]])</f>
        <v/>
      </c>
      <c r="AA21" s="166" t="str">
        <f>IF(Table2[[#This Row],[Counter Number]]="","",Table1[[#This Row],[Engine Family Name:]])</f>
        <v/>
      </c>
      <c r="AB21" s="60" t="str">
        <f>IF(Table2[[#This Row],[Counter Number]]="","","ULSD")</f>
        <v/>
      </c>
      <c r="AC21" s="167" t="str">
        <f>IF(Table2[[#This Row],[Counter Number]]="","",Table2[[#This Row],[Annual Miles Traveled:]]/Table1[[#This Row],[Old Fuel (mpg)]])</f>
        <v/>
      </c>
      <c r="AD21" s="60" t="str">
        <f>IF(Table2[[#This Row],[Counter Number]]="","","NA")</f>
        <v/>
      </c>
      <c r="AE21" s="168" t="str">
        <f>IF(Table2[[#This Row],[Counter Number]]="","",Table1[[#This Row],[Annual Miles Traveled]])</f>
        <v/>
      </c>
      <c r="AF21" s="169" t="str">
        <f>IF(Table2[[#This Row],[Counter Number]]="","",Table1[[#This Row],[Annual Idling Hours:]])</f>
        <v/>
      </c>
      <c r="AG21" s="60" t="str">
        <f>IF(Table2[[#This Row],[Counter Number]]="","","NA")</f>
        <v/>
      </c>
      <c r="AH21" s="165" t="str">
        <f>IF(Table2[[#This Row],[Counter Number]]="","",IF(Application!$J$25="Set Policy",Table1[[#This Row],[Remaining Life (years)         Set Policy]],Table1[[#This Row],[Remaining Life (years)               Case-by-Case]]))</f>
        <v/>
      </c>
      <c r="AI21" s="165" t="str">
        <f>IF(Table2[[#This Row],[Counter Number]]="","",IF(Application!$J$25="Case-by-Case","NA",Table2[[#This Row],[Fiscal Year of EPA Funds Used:]]+Table2[[#This Row],[Remaining Life:]]))</f>
        <v/>
      </c>
      <c r="AJ21" s="165"/>
      <c r="AK21" s="170" t="str">
        <f>IF(Table2[[#This Row],[Counter Number]]="","",Application!$D$14+1)</f>
        <v/>
      </c>
      <c r="AL21" s="60" t="str">
        <f>IF(Table2[[#This Row],[Counter Number]]="","","Vehicle Replacement")</f>
        <v/>
      </c>
      <c r="AM2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 s="171" t="str">
        <f>IF(Table2[[#This Row],[Counter Number]]="","",Table1[[#This Row],[Cost of New Bus:]])</f>
        <v/>
      </c>
      <c r="AO21" s="60" t="str">
        <f>IF(Table2[[#This Row],[Counter Number]]="","","NA")</f>
        <v/>
      </c>
      <c r="AP21" s="165" t="str">
        <f>IF(Table2[[#This Row],[Counter Number]]="","",Table1[[#This Row],[New Engine Model Year:]])</f>
        <v/>
      </c>
      <c r="AQ21" s="60" t="str">
        <f>IF(Table2[[#This Row],[Counter Number]]="","","NA")</f>
        <v/>
      </c>
      <c r="AR21" s="165" t="str">
        <f>IF(Table2[[#This Row],[Counter Number]]="","",Table1[[#This Row],[New Engine Horsepower (HP):]])</f>
        <v/>
      </c>
      <c r="AS21" s="60" t="str">
        <f>IF(Table2[[#This Row],[Counter Number]]="","","NA")</f>
        <v/>
      </c>
      <c r="AT21" s="165" t="str">
        <f>IF(Table2[[#This Row],[Counter Number]]="","",Table1[[#This Row],[New Engine Cylinder Displacement (L):]]&amp;" L")</f>
        <v/>
      </c>
      <c r="AU21" s="114" t="str">
        <f>IF(Table2[[#This Row],[Counter Number]]="","",Table1[[#This Row],[New Engine Number of Cylinders:]])</f>
        <v/>
      </c>
      <c r="AV21" s="60" t="str">
        <f>IF(Table2[[#This Row],[Counter Number]]="","",Table1[[#This Row],[New Engine Family Name:]])</f>
        <v/>
      </c>
      <c r="AW2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 s="60" t="str">
        <f>IF(Table2[[#This Row],[Counter Number]]="","","NA")</f>
        <v/>
      </c>
      <c r="AY21" s="172" t="str">
        <f>IF(Table2[[#This Row],[Counter Number]]="","",IF(Table2[[#This Row],[New Engine Fuel Type:]]="ULSD",Table1[[#This Row],[Annual Miles Traveled]]/Table1[[#This Row],[New Fuel (mpg) if Diesel]],""))</f>
        <v/>
      </c>
      <c r="AZ21" s="60"/>
      <c r="BA21" s="173" t="str">
        <f>IF(Table2[[#This Row],[Counter Number]]="","",Table2[[#This Row],[Annual Miles Traveled:]]*VLOOKUP(Table2[[#This Row],[Engine Model Year:]],EFTable[],3,FALSE))</f>
        <v/>
      </c>
      <c r="BB21" s="173" t="str">
        <f>IF(Table2[[#This Row],[Counter Number]]="","",Table2[[#This Row],[Annual Miles Traveled:]]*IF(Table2[[#This Row],[New Engine Fuel Type:]]="ULSD",VLOOKUP(Table2[[#This Row],[New Engine Model Year:]],EFTable[],3,FALSE),VLOOKUP(Table2[[#This Row],[New Engine Fuel Type:]],EFTable[],3,FALSE)))</f>
        <v/>
      </c>
      <c r="BC21" s="187" t="str">
        <f>IF(Table2[[#This Row],[Counter Number]]="","",Table2[[#This Row],[Old Bus NOx Emissions (tons/yr)]]-Table2[[#This Row],[New Bus NOx Emissions (tons/yr)]])</f>
        <v/>
      </c>
      <c r="BD21" s="188" t="str">
        <f>IF(Table2[[#This Row],[Counter Number]]="","",Table2[[#This Row],[Reduction Bus NOx Emissions (tons/yr)]]/Table2[[#This Row],[Old Bus NOx Emissions (tons/yr)]])</f>
        <v/>
      </c>
      <c r="BE21" s="175" t="str">
        <f>IF(Table2[[#This Row],[Counter Number]]="","",Table2[[#This Row],[Reduction Bus NOx Emissions (tons/yr)]]*Table2[[#This Row],[Remaining Life:]])</f>
        <v/>
      </c>
      <c r="BF21" s="189" t="str">
        <f>IF(Table2[[#This Row],[Counter Number]]="","",IF(Table2[[#This Row],[Lifetime NOx Reduction (tons)]]=0,"NA",Table2[[#This Row],[Upgrade Cost Per Unit]]/Table2[[#This Row],[Lifetime NOx Reduction (tons)]]))</f>
        <v/>
      </c>
      <c r="BG21" s="190" t="str">
        <f>IF(Table2[[#This Row],[Counter Number]]="","",Table2[[#This Row],[Annual Miles Traveled:]]*VLOOKUP(Table2[[#This Row],[Engine Model Year:]],EF!$A$2:$G$27,4,FALSE))</f>
        <v/>
      </c>
      <c r="BH21" s="173" t="str">
        <f>IF(Table2[[#This Row],[Counter Number]]="","",Table2[[#This Row],[Annual Miles Traveled:]]*IF(Table2[[#This Row],[New Engine Fuel Type:]]="ULSD",VLOOKUP(Table2[[#This Row],[New Engine Model Year:]],EFTable[],4,FALSE),VLOOKUP(Table2[[#This Row],[New Engine Fuel Type:]],EFTable[],4,FALSE)))</f>
        <v/>
      </c>
      <c r="BI21" s="191" t="str">
        <f>IF(Table2[[#This Row],[Counter Number]]="","",Table2[[#This Row],[Old Bus PM2.5 Emissions (tons/yr)]]-Table2[[#This Row],[New Bus PM2.5 Emissions (tons/yr)]])</f>
        <v/>
      </c>
      <c r="BJ21" s="192" t="str">
        <f>IF(Table2[[#This Row],[Counter Number]]="","",Table2[[#This Row],[Reduction Bus PM2.5 Emissions (tons/yr)]]/Table2[[#This Row],[Old Bus PM2.5 Emissions (tons/yr)]])</f>
        <v/>
      </c>
      <c r="BK21" s="193" t="str">
        <f>IF(Table2[[#This Row],[Counter Number]]="","",Table2[[#This Row],[Reduction Bus PM2.5 Emissions (tons/yr)]]*Table2[[#This Row],[Remaining Life:]])</f>
        <v/>
      </c>
      <c r="BL21" s="194" t="str">
        <f>IF(Table2[[#This Row],[Counter Number]]="","",IF(Table2[[#This Row],[Lifetime PM2.5 Reduction (tons)]]=0,"NA",Table2[[#This Row],[Upgrade Cost Per Unit]]/Table2[[#This Row],[Lifetime PM2.5 Reduction (tons)]]))</f>
        <v/>
      </c>
      <c r="BM21" s="179" t="str">
        <f>IF(Table2[[#This Row],[Counter Number]]="","",Table2[[#This Row],[Annual Miles Traveled:]]*VLOOKUP(Table2[[#This Row],[Engine Model Year:]],EF!$A$2:$G$40,5,FALSE))</f>
        <v/>
      </c>
      <c r="BN21" s="173" t="str">
        <f>IF(Table2[[#This Row],[Counter Number]]="","",Table2[[#This Row],[Annual Miles Traveled:]]*IF(Table2[[#This Row],[New Engine Fuel Type:]]="ULSD",VLOOKUP(Table2[[#This Row],[New Engine Model Year:]],EFTable[],5,FALSE),VLOOKUP(Table2[[#This Row],[New Engine Fuel Type:]],EFTable[],5,FALSE)))</f>
        <v/>
      </c>
      <c r="BO21" s="190" t="str">
        <f>IF(Table2[[#This Row],[Counter Number]]="","",Table2[[#This Row],[Old Bus HC Emissions (tons/yr)]]-Table2[[#This Row],[New Bus HC Emissions (tons/yr)]])</f>
        <v/>
      </c>
      <c r="BP21" s="188" t="str">
        <f>IF(Table2[[#This Row],[Counter Number]]="","",Table2[[#This Row],[Reduction Bus HC Emissions (tons/yr)]]/Table2[[#This Row],[Old Bus HC Emissions (tons/yr)]])</f>
        <v/>
      </c>
      <c r="BQ21" s="193" t="str">
        <f>IF(Table2[[#This Row],[Counter Number]]="","",Table2[[#This Row],[Reduction Bus HC Emissions (tons/yr)]]*Table2[[#This Row],[Remaining Life:]])</f>
        <v/>
      </c>
      <c r="BR21" s="194" t="str">
        <f>IF(Table2[[#This Row],[Counter Number]]="","",IF(Table2[[#This Row],[Lifetime HC Reduction (tons)]]=0,"NA",Table2[[#This Row],[Upgrade Cost Per Unit]]/Table2[[#This Row],[Lifetime HC Reduction (tons)]]))</f>
        <v/>
      </c>
      <c r="BS21" s="191" t="str">
        <f>IF(Table2[[#This Row],[Counter Number]]="","",Table2[[#This Row],[Annual Miles Traveled:]]*VLOOKUP(Table2[[#This Row],[Engine Model Year:]],EF!$A$2:$G$27,6,FALSE))</f>
        <v/>
      </c>
      <c r="BT21" s="173" t="str">
        <f>IF(Table2[[#This Row],[Counter Number]]="","",Table2[[#This Row],[Annual Miles Traveled:]]*IF(Table2[[#This Row],[New Engine Fuel Type:]]="ULSD",VLOOKUP(Table2[[#This Row],[New Engine Model Year:]],EFTable[],6,FALSE),VLOOKUP(Table2[[#This Row],[New Engine Fuel Type:]],EFTable[],6,FALSE)))</f>
        <v/>
      </c>
      <c r="BU21" s="190" t="str">
        <f>IF(Table2[[#This Row],[Counter Number]]="","",Table2[[#This Row],[Old Bus CO Emissions (tons/yr)]]-Table2[[#This Row],[New Bus CO Emissions (tons/yr)]])</f>
        <v/>
      </c>
      <c r="BV21" s="188" t="str">
        <f>IF(Table2[[#This Row],[Counter Number]]="","",Table2[[#This Row],[Reduction Bus CO Emissions (tons/yr)]]/Table2[[#This Row],[Old Bus CO Emissions (tons/yr)]])</f>
        <v/>
      </c>
      <c r="BW21" s="193" t="str">
        <f>IF(Table2[[#This Row],[Counter Number]]="","",Table2[[#This Row],[Reduction Bus CO Emissions (tons/yr)]]*Table2[[#This Row],[Remaining Life:]])</f>
        <v/>
      </c>
      <c r="BX21" s="194" t="str">
        <f>IF(Table2[[#This Row],[Counter Number]]="","",IF(Table2[[#This Row],[Lifetime CO Reduction (tons)]]=0,"NA",Table2[[#This Row],[Upgrade Cost Per Unit]]/Table2[[#This Row],[Lifetime CO Reduction (tons)]]))</f>
        <v/>
      </c>
      <c r="BY21" s="180" t="str">
        <f>IF(Table2[[#This Row],[Counter Number]]="","",Table2[[#This Row],[Old ULSD Used (gal):]]*VLOOKUP(Table2[[#This Row],[Engine Model Year:]],EF!$A$2:$G$27,7,FALSE))</f>
        <v/>
      </c>
      <c r="BZ2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 s="195" t="str">
        <f>IF(Table2[[#This Row],[Counter Number]]="","",Table2[[#This Row],[Old Bus CO2 Emissions (tons/yr)]]-Table2[[#This Row],[New Bus CO2 Emissions (tons/yr)]])</f>
        <v/>
      </c>
      <c r="CB21" s="188" t="str">
        <f>IF(Table2[[#This Row],[Counter Number]]="","",Table2[[#This Row],[Reduction Bus CO2 Emissions (tons/yr)]]/Table2[[#This Row],[Old Bus CO2 Emissions (tons/yr)]])</f>
        <v/>
      </c>
      <c r="CC21" s="195" t="str">
        <f>IF(Table2[[#This Row],[Counter Number]]="","",Table2[[#This Row],[Reduction Bus CO2 Emissions (tons/yr)]]*Table2[[#This Row],[Remaining Life:]])</f>
        <v/>
      </c>
      <c r="CD21" s="194" t="str">
        <f>IF(Table2[[#This Row],[Counter Number]]="","",IF(Table2[[#This Row],[Lifetime CO2 Reduction (tons)]]=0,"NA",Table2[[#This Row],[Upgrade Cost Per Unit]]/Table2[[#This Row],[Lifetime CO2 Reduction (tons)]]))</f>
        <v/>
      </c>
      <c r="CE21" s="182" t="str">
        <f>IF(Table2[[#This Row],[Counter Number]]="","",IF(Table2[[#This Row],[New ULSD Used (gal):]]="",Table2[[#This Row],[Old ULSD Used (gal):]],Table2[[#This Row],[Old ULSD Used (gal):]]-Table2[[#This Row],[New ULSD Used (gal):]]))</f>
        <v/>
      </c>
      <c r="CF21" s="196" t="str">
        <f>IF(Table2[[#This Row],[Counter Number]]="","",Table2[[#This Row],[Diesel Fuel Reduction (gal/yr)]]/Table2[[#This Row],[Old ULSD Used (gal):]])</f>
        <v/>
      </c>
      <c r="CG21" s="197" t="str">
        <f>IF(Table2[[#This Row],[Counter Number]]="","",Table2[[#This Row],[Diesel Fuel Reduction (gal/yr)]]*Table2[[#This Row],[Remaining Life:]])</f>
        <v/>
      </c>
    </row>
    <row r="22" spans="1:85" ht="15.45" customHeight="1">
      <c r="A22" s="184" t="str">
        <f>IF(A21&lt;Application!$D$24,A21+1,"")</f>
        <v/>
      </c>
      <c r="B22" s="60" t="str">
        <f>IF(Table2[[#This Row],[Counter Number]]="","",Application!$D$16)</f>
        <v/>
      </c>
      <c r="C22" s="60" t="str">
        <f>IF(Table2[[#This Row],[Counter Number]]="","",Application!$D$14)</f>
        <v/>
      </c>
      <c r="D22" s="60" t="str">
        <f>IF(Table2[[#This Row],[Counter Number]]="","",Table1[[#This Row],[Old Bus Number]])</f>
        <v/>
      </c>
      <c r="E22" s="60" t="str">
        <f>IF(Table2[[#This Row],[Counter Number]]="","",Application!$D$15)</f>
        <v/>
      </c>
      <c r="F22" s="60" t="str">
        <f>IF(Table2[[#This Row],[Counter Number]]="","","On Highway")</f>
        <v/>
      </c>
      <c r="G22" s="60" t="str">
        <f>IF(Table2[[#This Row],[Counter Number]]="","",I22)</f>
        <v/>
      </c>
      <c r="H22" s="60" t="str">
        <f>IF(Table2[[#This Row],[Counter Number]]="","","Georgia")</f>
        <v/>
      </c>
      <c r="I22" s="60" t="str">
        <f>IF(Table2[[#This Row],[Counter Number]]="","",Application!$D$16)</f>
        <v/>
      </c>
      <c r="J22" s="60" t="str">
        <f>IF(Table2[[#This Row],[Counter Number]]="","",Application!$D$21)</f>
        <v/>
      </c>
      <c r="K22" s="60" t="str">
        <f>IF(Table2[[#This Row],[Counter Number]]="","",Application!$J$21)</f>
        <v/>
      </c>
      <c r="L22" s="60" t="str">
        <f>IF(Table2[[#This Row],[Counter Number]]="","","School Bus")</f>
        <v/>
      </c>
      <c r="M22" s="60" t="str">
        <f>IF(Table2[[#This Row],[Counter Number]]="","","School Bus")</f>
        <v/>
      </c>
      <c r="N22" s="60" t="str">
        <f>IF(Table2[[#This Row],[Counter Number]]="","",1)</f>
        <v/>
      </c>
      <c r="O22" s="60" t="str">
        <f>IF(Table2[[#This Row],[Counter Number]]="","",Table1[[#This Row],[Vehicle Identification Number(s):]])</f>
        <v/>
      </c>
      <c r="P22" s="60" t="str">
        <f>IF(Table2[[#This Row],[Counter Number]]="","",Table1[[#This Row],[Old Bus Manufacturer:]])</f>
        <v/>
      </c>
      <c r="Q22" s="60" t="str">
        <f>IF(Table2[[#This Row],[Counter Number]]="","",Table1[[#This Row],[Vehicle Model:]])</f>
        <v/>
      </c>
      <c r="R22" s="165" t="str">
        <f>IF(Table2[[#This Row],[Counter Number]]="","",Table1[[#This Row],[Vehicle Model Year:]])</f>
        <v/>
      </c>
      <c r="S22" s="60" t="str">
        <f>IF(Table2[[#This Row],[Counter Number]]="","",Table1[[#This Row],[Engine Serial Number(s):]])</f>
        <v/>
      </c>
      <c r="T22" s="60" t="str">
        <f>IF(Table2[[#This Row],[Counter Number]]="","",Table1[[#This Row],[Engine Make:]])</f>
        <v/>
      </c>
      <c r="U22" s="60" t="str">
        <f>IF(Table2[[#This Row],[Counter Number]]="","",Table1[[#This Row],[Engine Model:]])</f>
        <v/>
      </c>
      <c r="V22" s="165" t="str">
        <f>IF(Table2[[#This Row],[Counter Number]]="","",Table1[[#This Row],[Engine Model Year:]])</f>
        <v/>
      </c>
      <c r="W22" s="60" t="str">
        <f>IF(Table2[[#This Row],[Counter Number]]="","","NA")</f>
        <v/>
      </c>
      <c r="X22" s="165" t="str">
        <f>IF(Table2[[#This Row],[Counter Number]]="","",Table1[[#This Row],[Engine Horsepower (HP):]])</f>
        <v/>
      </c>
      <c r="Y22" s="165" t="str">
        <f>IF(Table2[[#This Row],[Counter Number]]="","",Table1[[#This Row],[Engine Cylinder Displacement (L):]]&amp;" L")</f>
        <v/>
      </c>
      <c r="Z22" s="165" t="str">
        <f>IF(Table2[[#This Row],[Counter Number]]="","",Table1[[#This Row],[Engine Number of Cylinders:]])</f>
        <v/>
      </c>
      <c r="AA22" s="166" t="str">
        <f>IF(Table2[[#This Row],[Counter Number]]="","",Table1[[#This Row],[Engine Family Name:]])</f>
        <v/>
      </c>
      <c r="AB22" s="60" t="str">
        <f>IF(Table2[[#This Row],[Counter Number]]="","","ULSD")</f>
        <v/>
      </c>
      <c r="AC22" s="167" t="str">
        <f>IF(Table2[[#This Row],[Counter Number]]="","",Table2[[#This Row],[Annual Miles Traveled:]]/Table1[[#This Row],[Old Fuel (mpg)]])</f>
        <v/>
      </c>
      <c r="AD22" s="60" t="str">
        <f>IF(Table2[[#This Row],[Counter Number]]="","","NA")</f>
        <v/>
      </c>
      <c r="AE22" s="168" t="str">
        <f>IF(Table2[[#This Row],[Counter Number]]="","",Table1[[#This Row],[Annual Miles Traveled]])</f>
        <v/>
      </c>
      <c r="AF22" s="169" t="str">
        <f>IF(Table2[[#This Row],[Counter Number]]="","",Table1[[#This Row],[Annual Idling Hours:]])</f>
        <v/>
      </c>
      <c r="AG22" s="60" t="str">
        <f>IF(Table2[[#This Row],[Counter Number]]="","","NA")</f>
        <v/>
      </c>
      <c r="AH22" s="165" t="str">
        <f>IF(Table2[[#This Row],[Counter Number]]="","",IF(Application!$J$25="Set Policy",Table1[[#This Row],[Remaining Life (years)         Set Policy]],Table1[[#This Row],[Remaining Life (years)               Case-by-Case]]))</f>
        <v/>
      </c>
      <c r="AI22" s="165" t="str">
        <f>IF(Table2[[#This Row],[Counter Number]]="","",IF(Application!$J$25="Case-by-Case","NA",Table2[[#This Row],[Fiscal Year of EPA Funds Used:]]+Table2[[#This Row],[Remaining Life:]]))</f>
        <v/>
      </c>
      <c r="AJ22" s="165"/>
      <c r="AK22" s="170" t="str">
        <f>IF(Table2[[#This Row],[Counter Number]]="","",Application!$D$14+1)</f>
        <v/>
      </c>
      <c r="AL22" s="60" t="str">
        <f>IF(Table2[[#This Row],[Counter Number]]="","","Vehicle Replacement")</f>
        <v/>
      </c>
      <c r="AM2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 s="171" t="str">
        <f>IF(Table2[[#This Row],[Counter Number]]="","",Table1[[#This Row],[Cost of New Bus:]])</f>
        <v/>
      </c>
      <c r="AO22" s="60" t="str">
        <f>IF(Table2[[#This Row],[Counter Number]]="","","NA")</f>
        <v/>
      </c>
      <c r="AP22" s="165" t="str">
        <f>IF(Table2[[#This Row],[Counter Number]]="","",Table1[[#This Row],[New Engine Model Year:]])</f>
        <v/>
      </c>
      <c r="AQ22" s="60" t="str">
        <f>IF(Table2[[#This Row],[Counter Number]]="","","NA")</f>
        <v/>
      </c>
      <c r="AR22" s="165" t="str">
        <f>IF(Table2[[#This Row],[Counter Number]]="","",Table1[[#This Row],[New Engine Horsepower (HP):]])</f>
        <v/>
      </c>
      <c r="AS22" s="60" t="str">
        <f>IF(Table2[[#This Row],[Counter Number]]="","","NA")</f>
        <v/>
      </c>
      <c r="AT22" s="165" t="str">
        <f>IF(Table2[[#This Row],[Counter Number]]="","",Table1[[#This Row],[New Engine Cylinder Displacement (L):]]&amp;" L")</f>
        <v/>
      </c>
      <c r="AU22" s="114" t="str">
        <f>IF(Table2[[#This Row],[Counter Number]]="","",Table1[[#This Row],[New Engine Number of Cylinders:]])</f>
        <v/>
      </c>
      <c r="AV22" s="60" t="str">
        <f>IF(Table2[[#This Row],[Counter Number]]="","",Table1[[#This Row],[New Engine Family Name:]])</f>
        <v/>
      </c>
      <c r="AW2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 s="60" t="str">
        <f>IF(Table2[[#This Row],[Counter Number]]="","","NA")</f>
        <v/>
      </c>
      <c r="AY22" s="172" t="str">
        <f>IF(Table2[[#This Row],[Counter Number]]="","",IF(Table2[[#This Row],[New Engine Fuel Type:]]="ULSD",Table1[[#This Row],[Annual Miles Traveled]]/Table1[[#This Row],[New Fuel (mpg) if Diesel]],""))</f>
        <v/>
      </c>
      <c r="AZ22" s="60"/>
      <c r="BA22" s="173" t="str">
        <f>IF(Table2[[#This Row],[Counter Number]]="","",Table2[[#This Row],[Annual Miles Traveled:]]*VLOOKUP(Table2[[#This Row],[Engine Model Year:]],EFTable[],3,FALSE))</f>
        <v/>
      </c>
      <c r="BB22" s="173" t="str">
        <f>IF(Table2[[#This Row],[Counter Number]]="","",Table2[[#This Row],[Annual Miles Traveled:]]*IF(Table2[[#This Row],[New Engine Fuel Type:]]="ULSD",VLOOKUP(Table2[[#This Row],[New Engine Model Year:]],EFTable[],3,FALSE),VLOOKUP(Table2[[#This Row],[New Engine Fuel Type:]],EFTable[],3,FALSE)))</f>
        <v/>
      </c>
      <c r="BC22" s="187" t="str">
        <f>IF(Table2[[#This Row],[Counter Number]]="","",Table2[[#This Row],[Old Bus NOx Emissions (tons/yr)]]-Table2[[#This Row],[New Bus NOx Emissions (tons/yr)]])</f>
        <v/>
      </c>
      <c r="BD22" s="188" t="str">
        <f>IF(Table2[[#This Row],[Counter Number]]="","",Table2[[#This Row],[Reduction Bus NOx Emissions (tons/yr)]]/Table2[[#This Row],[Old Bus NOx Emissions (tons/yr)]])</f>
        <v/>
      </c>
      <c r="BE22" s="175" t="str">
        <f>IF(Table2[[#This Row],[Counter Number]]="","",Table2[[#This Row],[Reduction Bus NOx Emissions (tons/yr)]]*Table2[[#This Row],[Remaining Life:]])</f>
        <v/>
      </c>
      <c r="BF22" s="189" t="str">
        <f>IF(Table2[[#This Row],[Counter Number]]="","",IF(Table2[[#This Row],[Lifetime NOx Reduction (tons)]]=0,"NA",Table2[[#This Row],[Upgrade Cost Per Unit]]/Table2[[#This Row],[Lifetime NOx Reduction (tons)]]))</f>
        <v/>
      </c>
      <c r="BG22" s="190" t="str">
        <f>IF(Table2[[#This Row],[Counter Number]]="","",Table2[[#This Row],[Annual Miles Traveled:]]*VLOOKUP(Table2[[#This Row],[Engine Model Year:]],EF!$A$2:$G$27,4,FALSE))</f>
        <v/>
      </c>
      <c r="BH22" s="173" t="str">
        <f>IF(Table2[[#This Row],[Counter Number]]="","",Table2[[#This Row],[Annual Miles Traveled:]]*IF(Table2[[#This Row],[New Engine Fuel Type:]]="ULSD",VLOOKUP(Table2[[#This Row],[New Engine Model Year:]],EFTable[],4,FALSE),VLOOKUP(Table2[[#This Row],[New Engine Fuel Type:]],EFTable[],4,FALSE)))</f>
        <v/>
      </c>
      <c r="BI22" s="191" t="str">
        <f>IF(Table2[[#This Row],[Counter Number]]="","",Table2[[#This Row],[Old Bus PM2.5 Emissions (tons/yr)]]-Table2[[#This Row],[New Bus PM2.5 Emissions (tons/yr)]])</f>
        <v/>
      </c>
      <c r="BJ22" s="192" t="str">
        <f>IF(Table2[[#This Row],[Counter Number]]="","",Table2[[#This Row],[Reduction Bus PM2.5 Emissions (tons/yr)]]/Table2[[#This Row],[Old Bus PM2.5 Emissions (tons/yr)]])</f>
        <v/>
      </c>
      <c r="BK22" s="193" t="str">
        <f>IF(Table2[[#This Row],[Counter Number]]="","",Table2[[#This Row],[Reduction Bus PM2.5 Emissions (tons/yr)]]*Table2[[#This Row],[Remaining Life:]])</f>
        <v/>
      </c>
      <c r="BL22" s="194" t="str">
        <f>IF(Table2[[#This Row],[Counter Number]]="","",IF(Table2[[#This Row],[Lifetime PM2.5 Reduction (tons)]]=0,"NA",Table2[[#This Row],[Upgrade Cost Per Unit]]/Table2[[#This Row],[Lifetime PM2.5 Reduction (tons)]]))</f>
        <v/>
      </c>
      <c r="BM22" s="179" t="str">
        <f>IF(Table2[[#This Row],[Counter Number]]="","",Table2[[#This Row],[Annual Miles Traveled:]]*VLOOKUP(Table2[[#This Row],[Engine Model Year:]],EF!$A$2:$G$40,5,FALSE))</f>
        <v/>
      </c>
      <c r="BN22" s="173" t="str">
        <f>IF(Table2[[#This Row],[Counter Number]]="","",Table2[[#This Row],[Annual Miles Traveled:]]*IF(Table2[[#This Row],[New Engine Fuel Type:]]="ULSD",VLOOKUP(Table2[[#This Row],[New Engine Model Year:]],EFTable[],5,FALSE),VLOOKUP(Table2[[#This Row],[New Engine Fuel Type:]],EFTable[],5,FALSE)))</f>
        <v/>
      </c>
      <c r="BO22" s="190" t="str">
        <f>IF(Table2[[#This Row],[Counter Number]]="","",Table2[[#This Row],[Old Bus HC Emissions (tons/yr)]]-Table2[[#This Row],[New Bus HC Emissions (tons/yr)]])</f>
        <v/>
      </c>
      <c r="BP22" s="188" t="str">
        <f>IF(Table2[[#This Row],[Counter Number]]="","",Table2[[#This Row],[Reduction Bus HC Emissions (tons/yr)]]/Table2[[#This Row],[Old Bus HC Emissions (tons/yr)]])</f>
        <v/>
      </c>
      <c r="BQ22" s="193" t="str">
        <f>IF(Table2[[#This Row],[Counter Number]]="","",Table2[[#This Row],[Reduction Bus HC Emissions (tons/yr)]]*Table2[[#This Row],[Remaining Life:]])</f>
        <v/>
      </c>
      <c r="BR22" s="194" t="str">
        <f>IF(Table2[[#This Row],[Counter Number]]="","",IF(Table2[[#This Row],[Lifetime HC Reduction (tons)]]=0,"NA",Table2[[#This Row],[Upgrade Cost Per Unit]]/Table2[[#This Row],[Lifetime HC Reduction (tons)]]))</f>
        <v/>
      </c>
      <c r="BS22" s="191" t="str">
        <f>IF(Table2[[#This Row],[Counter Number]]="","",Table2[[#This Row],[Annual Miles Traveled:]]*VLOOKUP(Table2[[#This Row],[Engine Model Year:]],EF!$A$2:$G$27,6,FALSE))</f>
        <v/>
      </c>
      <c r="BT22" s="173" t="str">
        <f>IF(Table2[[#This Row],[Counter Number]]="","",Table2[[#This Row],[Annual Miles Traveled:]]*IF(Table2[[#This Row],[New Engine Fuel Type:]]="ULSD",VLOOKUP(Table2[[#This Row],[New Engine Model Year:]],EFTable[],6,FALSE),VLOOKUP(Table2[[#This Row],[New Engine Fuel Type:]],EFTable[],6,FALSE)))</f>
        <v/>
      </c>
      <c r="BU22" s="190" t="str">
        <f>IF(Table2[[#This Row],[Counter Number]]="","",Table2[[#This Row],[Old Bus CO Emissions (tons/yr)]]-Table2[[#This Row],[New Bus CO Emissions (tons/yr)]])</f>
        <v/>
      </c>
      <c r="BV22" s="188" t="str">
        <f>IF(Table2[[#This Row],[Counter Number]]="","",Table2[[#This Row],[Reduction Bus CO Emissions (tons/yr)]]/Table2[[#This Row],[Old Bus CO Emissions (tons/yr)]])</f>
        <v/>
      </c>
      <c r="BW22" s="193" t="str">
        <f>IF(Table2[[#This Row],[Counter Number]]="","",Table2[[#This Row],[Reduction Bus CO Emissions (tons/yr)]]*Table2[[#This Row],[Remaining Life:]])</f>
        <v/>
      </c>
      <c r="BX22" s="194" t="str">
        <f>IF(Table2[[#This Row],[Counter Number]]="","",IF(Table2[[#This Row],[Lifetime CO Reduction (tons)]]=0,"NA",Table2[[#This Row],[Upgrade Cost Per Unit]]/Table2[[#This Row],[Lifetime CO Reduction (tons)]]))</f>
        <v/>
      </c>
      <c r="BY22" s="180" t="str">
        <f>IF(Table2[[#This Row],[Counter Number]]="","",Table2[[#This Row],[Old ULSD Used (gal):]]*VLOOKUP(Table2[[#This Row],[Engine Model Year:]],EF!$A$2:$G$27,7,FALSE))</f>
        <v/>
      </c>
      <c r="BZ2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 s="195" t="str">
        <f>IF(Table2[[#This Row],[Counter Number]]="","",Table2[[#This Row],[Old Bus CO2 Emissions (tons/yr)]]-Table2[[#This Row],[New Bus CO2 Emissions (tons/yr)]])</f>
        <v/>
      </c>
      <c r="CB22" s="188" t="str">
        <f>IF(Table2[[#This Row],[Counter Number]]="","",Table2[[#This Row],[Reduction Bus CO2 Emissions (tons/yr)]]/Table2[[#This Row],[Old Bus CO2 Emissions (tons/yr)]])</f>
        <v/>
      </c>
      <c r="CC22" s="195" t="str">
        <f>IF(Table2[[#This Row],[Counter Number]]="","",Table2[[#This Row],[Reduction Bus CO2 Emissions (tons/yr)]]*Table2[[#This Row],[Remaining Life:]])</f>
        <v/>
      </c>
      <c r="CD22" s="194" t="str">
        <f>IF(Table2[[#This Row],[Counter Number]]="","",IF(Table2[[#This Row],[Lifetime CO2 Reduction (tons)]]=0,"NA",Table2[[#This Row],[Upgrade Cost Per Unit]]/Table2[[#This Row],[Lifetime CO2 Reduction (tons)]]))</f>
        <v/>
      </c>
      <c r="CE22" s="182" t="str">
        <f>IF(Table2[[#This Row],[Counter Number]]="","",IF(Table2[[#This Row],[New ULSD Used (gal):]]="",Table2[[#This Row],[Old ULSD Used (gal):]],Table2[[#This Row],[Old ULSD Used (gal):]]-Table2[[#This Row],[New ULSD Used (gal):]]))</f>
        <v/>
      </c>
      <c r="CF22" s="196" t="str">
        <f>IF(Table2[[#This Row],[Counter Number]]="","",Table2[[#This Row],[Diesel Fuel Reduction (gal/yr)]]/Table2[[#This Row],[Old ULSD Used (gal):]])</f>
        <v/>
      </c>
      <c r="CG22" s="197" t="str">
        <f>IF(Table2[[#This Row],[Counter Number]]="","",Table2[[#This Row],[Diesel Fuel Reduction (gal/yr)]]*Table2[[#This Row],[Remaining Life:]])</f>
        <v/>
      </c>
    </row>
    <row r="23" spans="1:85" ht="15.45" customHeight="1">
      <c r="A23" s="184" t="str">
        <f>IF(A22&lt;Application!$D$24,A22+1,"")</f>
        <v/>
      </c>
      <c r="B23" s="60" t="str">
        <f>IF(Table2[[#This Row],[Counter Number]]="","",Application!$D$16)</f>
        <v/>
      </c>
      <c r="C23" s="60" t="str">
        <f>IF(Table2[[#This Row],[Counter Number]]="","",Application!$D$14)</f>
        <v/>
      </c>
      <c r="D23" s="60" t="str">
        <f>IF(Table2[[#This Row],[Counter Number]]="","",Table1[[#This Row],[Old Bus Number]])</f>
        <v/>
      </c>
      <c r="E23" s="60" t="str">
        <f>IF(Table2[[#This Row],[Counter Number]]="","",Application!$D$15)</f>
        <v/>
      </c>
      <c r="F23" s="60" t="str">
        <f>IF(Table2[[#This Row],[Counter Number]]="","","On Highway")</f>
        <v/>
      </c>
      <c r="G23" s="60" t="str">
        <f>IF(Table2[[#This Row],[Counter Number]]="","",I23)</f>
        <v/>
      </c>
      <c r="H23" s="60" t="str">
        <f>IF(Table2[[#This Row],[Counter Number]]="","","Georgia")</f>
        <v/>
      </c>
      <c r="I23" s="60" t="str">
        <f>IF(Table2[[#This Row],[Counter Number]]="","",Application!$D$16)</f>
        <v/>
      </c>
      <c r="J23" s="60" t="str">
        <f>IF(Table2[[#This Row],[Counter Number]]="","",Application!$D$21)</f>
        <v/>
      </c>
      <c r="K23" s="60" t="str">
        <f>IF(Table2[[#This Row],[Counter Number]]="","",Application!$J$21)</f>
        <v/>
      </c>
      <c r="L23" s="60" t="str">
        <f>IF(Table2[[#This Row],[Counter Number]]="","","School Bus")</f>
        <v/>
      </c>
      <c r="M23" s="60" t="str">
        <f>IF(Table2[[#This Row],[Counter Number]]="","","School Bus")</f>
        <v/>
      </c>
      <c r="N23" s="60" t="str">
        <f>IF(Table2[[#This Row],[Counter Number]]="","",1)</f>
        <v/>
      </c>
      <c r="O23" s="60" t="str">
        <f>IF(Table2[[#This Row],[Counter Number]]="","",Table1[[#This Row],[Vehicle Identification Number(s):]])</f>
        <v/>
      </c>
      <c r="P23" s="60" t="str">
        <f>IF(Table2[[#This Row],[Counter Number]]="","",Table1[[#This Row],[Old Bus Manufacturer:]])</f>
        <v/>
      </c>
      <c r="Q23" s="60" t="str">
        <f>IF(Table2[[#This Row],[Counter Number]]="","",Table1[[#This Row],[Vehicle Model:]])</f>
        <v/>
      </c>
      <c r="R23" s="165" t="str">
        <f>IF(Table2[[#This Row],[Counter Number]]="","",Table1[[#This Row],[Vehicle Model Year:]])</f>
        <v/>
      </c>
      <c r="S23" s="60" t="str">
        <f>IF(Table2[[#This Row],[Counter Number]]="","",Table1[[#This Row],[Engine Serial Number(s):]])</f>
        <v/>
      </c>
      <c r="T23" s="60" t="str">
        <f>IF(Table2[[#This Row],[Counter Number]]="","",Table1[[#This Row],[Engine Make:]])</f>
        <v/>
      </c>
      <c r="U23" s="60" t="str">
        <f>IF(Table2[[#This Row],[Counter Number]]="","",Table1[[#This Row],[Engine Model:]])</f>
        <v/>
      </c>
      <c r="V23" s="165" t="str">
        <f>IF(Table2[[#This Row],[Counter Number]]="","",Table1[[#This Row],[Engine Model Year:]])</f>
        <v/>
      </c>
      <c r="W23" s="60" t="str">
        <f>IF(Table2[[#This Row],[Counter Number]]="","","NA")</f>
        <v/>
      </c>
      <c r="X23" s="165" t="str">
        <f>IF(Table2[[#This Row],[Counter Number]]="","",Table1[[#This Row],[Engine Horsepower (HP):]])</f>
        <v/>
      </c>
      <c r="Y23" s="165" t="str">
        <f>IF(Table2[[#This Row],[Counter Number]]="","",Table1[[#This Row],[Engine Cylinder Displacement (L):]]&amp;" L")</f>
        <v/>
      </c>
      <c r="Z23" s="165" t="str">
        <f>IF(Table2[[#This Row],[Counter Number]]="","",Table1[[#This Row],[Engine Number of Cylinders:]])</f>
        <v/>
      </c>
      <c r="AA23" s="166" t="str">
        <f>IF(Table2[[#This Row],[Counter Number]]="","",Table1[[#This Row],[Engine Family Name:]])</f>
        <v/>
      </c>
      <c r="AB23" s="60" t="str">
        <f>IF(Table2[[#This Row],[Counter Number]]="","","ULSD")</f>
        <v/>
      </c>
      <c r="AC23" s="167" t="str">
        <f>IF(Table2[[#This Row],[Counter Number]]="","",Table2[[#This Row],[Annual Miles Traveled:]]/Table1[[#This Row],[Old Fuel (mpg)]])</f>
        <v/>
      </c>
      <c r="AD23" s="60" t="str">
        <f>IF(Table2[[#This Row],[Counter Number]]="","","NA")</f>
        <v/>
      </c>
      <c r="AE23" s="168" t="str">
        <f>IF(Table2[[#This Row],[Counter Number]]="","",Table1[[#This Row],[Annual Miles Traveled]])</f>
        <v/>
      </c>
      <c r="AF23" s="169" t="str">
        <f>IF(Table2[[#This Row],[Counter Number]]="","",Table1[[#This Row],[Annual Idling Hours:]])</f>
        <v/>
      </c>
      <c r="AG23" s="60" t="str">
        <f>IF(Table2[[#This Row],[Counter Number]]="","","NA")</f>
        <v/>
      </c>
      <c r="AH23" s="165" t="str">
        <f>IF(Table2[[#This Row],[Counter Number]]="","",IF(Application!$J$25="Set Policy",Table1[[#This Row],[Remaining Life (years)         Set Policy]],Table1[[#This Row],[Remaining Life (years)               Case-by-Case]]))</f>
        <v/>
      </c>
      <c r="AI23" s="165" t="str">
        <f>IF(Table2[[#This Row],[Counter Number]]="","",IF(Application!$J$25="Case-by-Case","NA",Table2[[#This Row],[Fiscal Year of EPA Funds Used:]]+Table2[[#This Row],[Remaining Life:]]))</f>
        <v/>
      </c>
      <c r="AJ23" s="165"/>
      <c r="AK23" s="170" t="str">
        <f>IF(Table2[[#This Row],[Counter Number]]="","",Application!$D$14+1)</f>
        <v/>
      </c>
      <c r="AL23" s="60" t="str">
        <f>IF(Table2[[#This Row],[Counter Number]]="","","Vehicle Replacement")</f>
        <v/>
      </c>
      <c r="AM2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3" s="171" t="str">
        <f>IF(Table2[[#This Row],[Counter Number]]="","",Table1[[#This Row],[Cost of New Bus:]])</f>
        <v/>
      </c>
      <c r="AO23" s="60" t="str">
        <f>IF(Table2[[#This Row],[Counter Number]]="","","NA")</f>
        <v/>
      </c>
      <c r="AP23" s="165" t="str">
        <f>IF(Table2[[#This Row],[Counter Number]]="","",Table1[[#This Row],[New Engine Model Year:]])</f>
        <v/>
      </c>
      <c r="AQ23" s="60" t="str">
        <f>IF(Table2[[#This Row],[Counter Number]]="","","NA")</f>
        <v/>
      </c>
      <c r="AR23" s="165" t="str">
        <f>IF(Table2[[#This Row],[Counter Number]]="","",Table1[[#This Row],[New Engine Horsepower (HP):]])</f>
        <v/>
      </c>
      <c r="AS23" s="60" t="str">
        <f>IF(Table2[[#This Row],[Counter Number]]="","","NA")</f>
        <v/>
      </c>
      <c r="AT23" s="165" t="str">
        <f>IF(Table2[[#This Row],[Counter Number]]="","",Table1[[#This Row],[New Engine Cylinder Displacement (L):]]&amp;" L")</f>
        <v/>
      </c>
      <c r="AU23" s="114" t="str">
        <f>IF(Table2[[#This Row],[Counter Number]]="","",Table1[[#This Row],[New Engine Number of Cylinders:]])</f>
        <v/>
      </c>
      <c r="AV23" s="60" t="str">
        <f>IF(Table2[[#This Row],[Counter Number]]="","",Table1[[#This Row],[New Engine Family Name:]])</f>
        <v/>
      </c>
      <c r="AW2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3" s="60" t="str">
        <f>IF(Table2[[#This Row],[Counter Number]]="","","NA")</f>
        <v/>
      </c>
      <c r="AY23" s="172" t="str">
        <f>IF(Table2[[#This Row],[Counter Number]]="","",IF(Table2[[#This Row],[New Engine Fuel Type:]]="ULSD",Table1[[#This Row],[Annual Miles Traveled]]/Table1[[#This Row],[New Fuel (mpg) if Diesel]],""))</f>
        <v/>
      </c>
      <c r="AZ23" s="60"/>
      <c r="BA23" s="173" t="str">
        <f>IF(Table2[[#This Row],[Counter Number]]="","",Table2[[#This Row],[Annual Miles Traveled:]]*VLOOKUP(Table2[[#This Row],[Engine Model Year:]],EFTable[],3,FALSE))</f>
        <v/>
      </c>
      <c r="BB23" s="173" t="str">
        <f>IF(Table2[[#This Row],[Counter Number]]="","",Table2[[#This Row],[Annual Miles Traveled:]]*IF(Table2[[#This Row],[New Engine Fuel Type:]]="ULSD",VLOOKUP(Table2[[#This Row],[New Engine Model Year:]],EFTable[],3,FALSE),VLOOKUP(Table2[[#This Row],[New Engine Fuel Type:]],EFTable[],3,FALSE)))</f>
        <v/>
      </c>
      <c r="BC23" s="187" t="str">
        <f>IF(Table2[[#This Row],[Counter Number]]="","",Table2[[#This Row],[Old Bus NOx Emissions (tons/yr)]]-Table2[[#This Row],[New Bus NOx Emissions (tons/yr)]])</f>
        <v/>
      </c>
      <c r="BD23" s="188" t="str">
        <f>IF(Table2[[#This Row],[Counter Number]]="","",Table2[[#This Row],[Reduction Bus NOx Emissions (tons/yr)]]/Table2[[#This Row],[Old Bus NOx Emissions (tons/yr)]])</f>
        <v/>
      </c>
      <c r="BE23" s="175" t="str">
        <f>IF(Table2[[#This Row],[Counter Number]]="","",Table2[[#This Row],[Reduction Bus NOx Emissions (tons/yr)]]*Table2[[#This Row],[Remaining Life:]])</f>
        <v/>
      </c>
      <c r="BF23" s="189" t="str">
        <f>IF(Table2[[#This Row],[Counter Number]]="","",IF(Table2[[#This Row],[Lifetime NOx Reduction (tons)]]=0,"NA",Table2[[#This Row],[Upgrade Cost Per Unit]]/Table2[[#This Row],[Lifetime NOx Reduction (tons)]]))</f>
        <v/>
      </c>
      <c r="BG23" s="190" t="str">
        <f>IF(Table2[[#This Row],[Counter Number]]="","",Table2[[#This Row],[Annual Miles Traveled:]]*VLOOKUP(Table2[[#This Row],[Engine Model Year:]],EF!$A$2:$G$27,4,FALSE))</f>
        <v/>
      </c>
      <c r="BH23" s="173" t="str">
        <f>IF(Table2[[#This Row],[Counter Number]]="","",Table2[[#This Row],[Annual Miles Traveled:]]*IF(Table2[[#This Row],[New Engine Fuel Type:]]="ULSD",VLOOKUP(Table2[[#This Row],[New Engine Model Year:]],EFTable[],4,FALSE),VLOOKUP(Table2[[#This Row],[New Engine Fuel Type:]],EFTable[],4,FALSE)))</f>
        <v/>
      </c>
      <c r="BI23" s="191" t="str">
        <f>IF(Table2[[#This Row],[Counter Number]]="","",Table2[[#This Row],[Old Bus PM2.5 Emissions (tons/yr)]]-Table2[[#This Row],[New Bus PM2.5 Emissions (tons/yr)]])</f>
        <v/>
      </c>
      <c r="BJ23" s="192" t="str">
        <f>IF(Table2[[#This Row],[Counter Number]]="","",Table2[[#This Row],[Reduction Bus PM2.5 Emissions (tons/yr)]]/Table2[[#This Row],[Old Bus PM2.5 Emissions (tons/yr)]])</f>
        <v/>
      </c>
      <c r="BK23" s="193" t="str">
        <f>IF(Table2[[#This Row],[Counter Number]]="","",Table2[[#This Row],[Reduction Bus PM2.5 Emissions (tons/yr)]]*Table2[[#This Row],[Remaining Life:]])</f>
        <v/>
      </c>
      <c r="BL23" s="194" t="str">
        <f>IF(Table2[[#This Row],[Counter Number]]="","",IF(Table2[[#This Row],[Lifetime PM2.5 Reduction (tons)]]=0,"NA",Table2[[#This Row],[Upgrade Cost Per Unit]]/Table2[[#This Row],[Lifetime PM2.5 Reduction (tons)]]))</f>
        <v/>
      </c>
      <c r="BM23" s="179" t="str">
        <f>IF(Table2[[#This Row],[Counter Number]]="","",Table2[[#This Row],[Annual Miles Traveled:]]*VLOOKUP(Table2[[#This Row],[Engine Model Year:]],EF!$A$2:$G$40,5,FALSE))</f>
        <v/>
      </c>
      <c r="BN23" s="173" t="str">
        <f>IF(Table2[[#This Row],[Counter Number]]="","",Table2[[#This Row],[Annual Miles Traveled:]]*IF(Table2[[#This Row],[New Engine Fuel Type:]]="ULSD",VLOOKUP(Table2[[#This Row],[New Engine Model Year:]],EFTable[],5,FALSE),VLOOKUP(Table2[[#This Row],[New Engine Fuel Type:]],EFTable[],5,FALSE)))</f>
        <v/>
      </c>
      <c r="BO23" s="190" t="str">
        <f>IF(Table2[[#This Row],[Counter Number]]="","",Table2[[#This Row],[Old Bus HC Emissions (tons/yr)]]-Table2[[#This Row],[New Bus HC Emissions (tons/yr)]])</f>
        <v/>
      </c>
      <c r="BP23" s="188" t="str">
        <f>IF(Table2[[#This Row],[Counter Number]]="","",Table2[[#This Row],[Reduction Bus HC Emissions (tons/yr)]]/Table2[[#This Row],[Old Bus HC Emissions (tons/yr)]])</f>
        <v/>
      </c>
      <c r="BQ23" s="193" t="str">
        <f>IF(Table2[[#This Row],[Counter Number]]="","",Table2[[#This Row],[Reduction Bus HC Emissions (tons/yr)]]*Table2[[#This Row],[Remaining Life:]])</f>
        <v/>
      </c>
      <c r="BR23" s="194" t="str">
        <f>IF(Table2[[#This Row],[Counter Number]]="","",IF(Table2[[#This Row],[Lifetime HC Reduction (tons)]]=0,"NA",Table2[[#This Row],[Upgrade Cost Per Unit]]/Table2[[#This Row],[Lifetime HC Reduction (tons)]]))</f>
        <v/>
      </c>
      <c r="BS23" s="191" t="str">
        <f>IF(Table2[[#This Row],[Counter Number]]="","",Table2[[#This Row],[Annual Miles Traveled:]]*VLOOKUP(Table2[[#This Row],[Engine Model Year:]],EF!$A$2:$G$27,6,FALSE))</f>
        <v/>
      </c>
      <c r="BT23" s="173" t="str">
        <f>IF(Table2[[#This Row],[Counter Number]]="","",Table2[[#This Row],[Annual Miles Traveled:]]*IF(Table2[[#This Row],[New Engine Fuel Type:]]="ULSD",VLOOKUP(Table2[[#This Row],[New Engine Model Year:]],EFTable[],6,FALSE),VLOOKUP(Table2[[#This Row],[New Engine Fuel Type:]],EFTable[],6,FALSE)))</f>
        <v/>
      </c>
      <c r="BU23" s="190" t="str">
        <f>IF(Table2[[#This Row],[Counter Number]]="","",Table2[[#This Row],[Old Bus CO Emissions (tons/yr)]]-Table2[[#This Row],[New Bus CO Emissions (tons/yr)]])</f>
        <v/>
      </c>
      <c r="BV23" s="188" t="str">
        <f>IF(Table2[[#This Row],[Counter Number]]="","",Table2[[#This Row],[Reduction Bus CO Emissions (tons/yr)]]/Table2[[#This Row],[Old Bus CO Emissions (tons/yr)]])</f>
        <v/>
      </c>
      <c r="BW23" s="193" t="str">
        <f>IF(Table2[[#This Row],[Counter Number]]="","",Table2[[#This Row],[Reduction Bus CO Emissions (tons/yr)]]*Table2[[#This Row],[Remaining Life:]])</f>
        <v/>
      </c>
      <c r="BX23" s="194" t="str">
        <f>IF(Table2[[#This Row],[Counter Number]]="","",IF(Table2[[#This Row],[Lifetime CO Reduction (tons)]]=0,"NA",Table2[[#This Row],[Upgrade Cost Per Unit]]/Table2[[#This Row],[Lifetime CO Reduction (tons)]]))</f>
        <v/>
      </c>
      <c r="BY23" s="180" t="str">
        <f>IF(Table2[[#This Row],[Counter Number]]="","",Table2[[#This Row],[Old ULSD Used (gal):]]*VLOOKUP(Table2[[#This Row],[Engine Model Year:]],EF!$A$2:$G$27,7,FALSE))</f>
        <v/>
      </c>
      <c r="BZ2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3" s="195" t="str">
        <f>IF(Table2[[#This Row],[Counter Number]]="","",Table2[[#This Row],[Old Bus CO2 Emissions (tons/yr)]]-Table2[[#This Row],[New Bus CO2 Emissions (tons/yr)]])</f>
        <v/>
      </c>
      <c r="CB23" s="188" t="str">
        <f>IF(Table2[[#This Row],[Counter Number]]="","",Table2[[#This Row],[Reduction Bus CO2 Emissions (tons/yr)]]/Table2[[#This Row],[Old Bus CO2 Emissions (tons/yr)]])</f>
        <v/>
      </c>
      <c r="CC23" s="195" t="str">
        <f>IF(Table2[[#This Row],[Counter Number]]="","",Table2[[#This Row],[Reduction Bus CO2 Emissions (tons/yr)]]*Table2[[#This Row],[Remaining Life:]])</f>
        <v/>
      </c>
      <c r="CD23" s="194" t="str">
        <f>IF(Table2[[#This Row],[Counter Number]]="","",IF(Table2[[#This Row],[Lifetime CO2 Reduction (tons)]]=0,"NA",Table2[[#This Row],[Upgrade Cost Per Unit]]/Table2[[#This Row],[Lifetime CO2 Reduction (tons)]]))</f>
        <v/>
      </c>
      <c r="CE23" s="182" t="str">
        <f>IF(Table2[[#This Row],[Counter Number]]="","",IF(Table2[[#This Row],[New ULSD Used (gal):]]="",Table2[[#This Row],[Old ULSD Used (gal):]],Table2[[#This Row],[Old ULSD Used (gal):]]-Table2[[#This Row],[New ULSD Used (gal):]]))</f>
        <v/>
      </c>
      <c r="CF23" s="196" t="str">
        <f>IF(Table2[[#This Row],[Counter Number]]="","",Table2[[#This Row],[Diesel Fuel Reduction (gal/yr)]]/Table2[[#This Row],[Old ULSD Used (gal):]])</f>
        <v/>
      </c>
      <c r="CG23" s="197" t="str">
        <f>IF(Table2[[#This Row],[Counter Number]]="","",Table2[[#This Row],[Diesel Fuel Reduction (gal/yr)]]*Table2[[#This Row],[Remaining Life:]])</f>
        <v/>
      </c>
    </row>
    <row r="24" spans="1:85" ht="15.45" customHeight="1">
      <c r="A24" s="184" t="str">
        <f>IF(A23&lt;Application!$D$24,A23+1,"")</f>
        <v/>
      </c>
      <c r="B24" s="60" t="str">
        <f>IF(Table2[[#This Row],[Counter Number]]="","",Application!$D$16)</f>
        <v/>
      </c>
      <c r="C24" s="60" t="str">
        <f>IF(Table2[[#This Row],[Counter Number]]="","",Application!$D$14)</f>
        <v/>
      </c>
      <c r="D24" s="60" t="str">
        <f>IF(Table2[[#This Row],[Counter Number]]="","",Table1[[#This Row],[Old Bus Number]])</f>
        <v/>
      </c>
      <c r="E24" s="60" t="str">
        <f>IF(Table2[[#This Row],[Counter Number]]="","",Application!$D$15)</f>
        <v/>
      </c>
      <c r="F24" s="60" t="str">
        <f>IF(Table2[[#This Row],[Counter Number]]="","","On Highway")</f>
        <v/>
      </c>
      <c r="G24" s="60" t="str">
        <f>IF(Table2[[#This Row],[Counter Number]]="","",I24)</f>
        <v/>
      </c>
      <c r="H24" s="60" t="str">
        <f>IF(Table2[[#This Row],[Counter Number]]="","","Georgia")</f>
        <v/>
      </c>
      <c r="I24" s="60" t="str">
        <f>IF(Table2[[#This Row],[Counter Number]]="","",Application!$D$16)</f>
        <v/>
      </c>
      <c r="J24" s="60" t="str">
        <f>IF(Table2[[#This Row],[Counter Number]]="","",Application!$D$21)</f>
        <v/>
      </c>
      <c r="K24" s="60" t="str">
        <f>IF(Table2[[#This Row],[Counter Number]]="","",Application!$J$21)</f>
        <v/>
      </c>
      <c r="L24" s="60" t="str">
        <f>IF(Table2[[#This Row],[Counter Number]]="","","School Bus")</f>
        <v/>
      </c>
      <c r="M24" s="60" t="str">
        <f>IF(Table2[[#This Row],[Counter Number]]="","","School Bus")</f>
        <v/>
      </c>
      <c r="N24" s="60" t="str">
        <f>IF(Table2[[#This Row],[Counter Number]]="","",1)</f>
        <v/>
      </c>
      <c r="O24" s="60" t="str">
        <f>IF(Table2[[#This Row],[Counter Number]]="","",Table1[[#This Row],[Vehicle Identification Number(s):]])</f>
        <v/>
      </c>
      <c r="P24" s="60" t="str">
        <f>IF(Table2[[#This Row],[Counter Number]]="","",Table1[[#This Row],[Old Bus Manufacturer:]])</f>
        <v/>
      </c>
      <c r="Q24" s="60" t="str">
        <f>IF(Table2[[#This Row],[Counter Number]]="","",Table1[[#This Row],[Vehicle Model:]])</f>
        <v/>
      </c>
      <c r="R24" s="165" t="str">
        <f>IF(Table2[[#This Row],[Counter Number]]="","",Table1[[#This Row],[Vehicle Model Year:]])</f>
        <v/>
      </c>
      <c r="S24" s="60" t="str">
        <f>IF(Table2[[#This Row],[Counter Number]]="","",Table1[[#This Row],[Engine Serial Number(s):]])</f>
        <v/>
      </c>
      <c r="T24" s="60" t="str">
        <f>IF(Table2[[#This Row],[Counter Number]]="","",Table1[[#This Row],[Engine Make:]])</f>
        <v/>
      </c>
      <c r="U24" s="60" t="str">
        <f>IF(Table2[[#This Row],[Counter Number]]="","",Table1[[#This Row],[Engine Model:]])</f>
        <v/>
      </c>
      <c r="V24" s="165" t="str">
        <f>IF(Table2[[#This Row],[Counter Number]]="","",Table1[[#This Row],[Engine Model Year:]])</f>
        <v/>
      </c>
      <c r="W24" s="60" t="str">
        <f>IF(Table2[[#This Row],[Counter Number]]="","","NA")</f>
        <v/>
      </c>
      <c r="X24" s="165" t="str">
        <f>IF(Table2[[#This Row],[Counter Number]]="","",Table1[[#This Row],[Engine Horsepower (HP):]])</f>
        <v/>
      </c>
      <c r="Y24" s="165" t="str">
        <f>IF(Table2[[#This Row],[Counter Number]]="","",Table1[[#This Row],[Engine Cylinder Displacement (L):]]&amp;" L")</f>
        <v/>
      </c>
      <c r="Z24" s="165" t="str">
        <f>IF(Table2[[#This Row],[Counter Number]]="","",Table1[[#This Row],[Engine Number of Cylinders:]])</f>
        <v/>
      </c>
      <c r="AA24" s="166" t="str">
        <f>IF(Table2[[#This Row],[Counter Number]]="","",Table1[[#This Row],[Engine Family Name:]])</f>
        <v/>
      </c>
      <c r="AB24" s="60" t="str">
        <f>IF(Table2[[#This Row],[Counter Number]]="","","ULSD")</f>
        <v/>
      </c>
      <c r="AC24" s="167" t="str">
        <f>IF(Table2[[#This Row],[Counter Number]]="","",Table2[[#This Row],[Annual Miles Traveled:]]/Table1[[#This Row],[Old Fuel (mpg)]])</f>
        <v/>
      </c>
      <c r="AD24" s="60" t="str">
        <f>IF(Table2[[#This Row],[Counter Number]]="","","NA")</f>
        <v/>
      </c>
      <c r="AE24" s="168" t="str">
        <f>IF(Table2[[#This Row],[Counter Number]]="","",Table1[[#This Row],[Annual Miles Traveled]])</f>
        <v/>
      </c>
      <c r="AF24" s="169" t="str">
        <f>IF(Table2[[#This Row],[Counter Number]]="","",Table1[[#This Row],[Annual Idling Hours:]])</f>
        <v/>
      </c>
      <c r="AG24" s="60" t="str">
        <f>IF(Table2[[#This Row],[Counter Number]]="","","NA")</f>
        <v/>
      </c>
      <c r="AH24" s="165" t="str">
        <f>IF(Table2[[#This Row],[Counter Number]]="","",IF(Application!$J$25="Set Policy",Table1[[#This Row],[Remaining Life (years)         Set Policy]],Table1[[#This Row],[Remaining Life (years)               Case-by-Case]]))</f>
        <v/>
      </c>
      <c r="AI24" s="165" t="str">
        <f>IF(Table2[[#This Row],[Counter Number]]="","",IF(Application!$J$25="Case-by-Case","NA",Table2[[#This Row],[Fiscal Year of EPA Funds Used:]]+Table2[[#This Row],[Remaining Life:]]))</f>
        <v/>
      </c>
      <c r="AJ24" s="165"/>
      <c r="AK24" s="170" t="str">
        <f>IF(Table2[[#This Row],[Counter Number]]="","",Application!$D$14+1)</f>
        <v/>
      </c>
      <c r="AL24" s="60" t="str">
        <f>IF(Table2[[#This Row],[Counter Number]]="","","Vehicle Replacement")</f>
        <v/>
      </c>
      <c r="AM2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4" s="171" t="str">
        <f>IF(Table2[[#This Row],[Counter Number]]="","",Table1[[#This Row],[Cost of New Bus:]])</f>
        <v/>
      </c>
      <c r="AO24" s="60" t="str">
        <f>IF(Table2[[#This Row],[Counter Number]]="","","NA")</f>
        <v/>
      </c>
      <c r="AP24" s="165" t="str">
        <f>IF(Table2[[#This Row],[Counter Number]]="","",Table1[[#This Row],[New Engine Model Year:]])</f>
        <v/>
      </c>
      <c r="AQ24" s="60" t="str">
        <f>IF(Table2[[#This Row],[Counter Number]]="","","NA")</f>
        <v/>
      </c>
      <c r="AR24" s="165" t="str">
        <f>IF(Table2[[#This Row],[Counter Number]]="","",Table1[[#This Row],[New Engine Horsepower (HP):]])</f>
        <v/>
      </c>
      <c r="AS24" s="60" t="str">
        <f>IF(Table2[[#This Row],[Counter Number]]="","","NA")</f>
        <v/>
      </c>
      <c r="AT24" s="165" t="str">
        <f>IF(Table2[[#This Row],[Counter Number]]="","",Table1[[#This Row],[New Engine Cylinder Displacement (L):]]&amp;" L")</f>
        <v/>
      </c>
      <c r="AU24" s="114" t="str">
        <f>IF(Table2[[#This Row],[Counter Number]]="","",Table1[[#This Row],[New Engine Number of Cylinders:]])</f>
        <v/>
      </c>
      <c r="AV24" s="60" t="str">
        <f>IF(Table2[[#This Row],[Counter Number]]="","",Table1[[#This Row],[New Engine Family Name:]])</f>
        <v/>
      </c>
      <c r="AW2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4" s="60" t="str">
        <f>IF(Table2[[#This Row],[Counter Number]]="","","NA")</f>
        <v/>
      </c>
      <c r="AY24" s="172" t="str">
        <f>IF(Table2[[#This Row],[Counter Number]]="","",IF(Table2[[#This Row],[New Engine Fuel Type:]]="ULSD",Table1[[#This Row],[Annual Miles Traveled]]/Table1[[#This Row],[New Fuel (mpg) if Diesel]],""))</f>
        <v/>
      </c>
      <c r="AZ24" s="60"/>
      <c r="BA24" s="173" t="str">
        <f>IF(Table2[[#This Row],[Counter Number]]="","",Table2[[#This Row],[Annual Miles Traveled:]]*VLOOKUP(Table2[[#This Row],[Engine Model Year:]],EFTable[],3,FALSE))</f>
        <v/>
      </c>
      <c r="BB24" s="173" t="str">
        <f>IF(Table2[[#This Row],[Counter Number]]="","",Table2[[#This Row],[Annual Miles Traveled:]]*IF(Table2[[#This Row],[New Engine Fuel Type:]]="ULSD",VLOOKUP(Table2[[#This Row],[New Engine Model Year:]],EFTable[],3,FALSE),VLOOKUP(Table2[[#This Row],[New Engine Fuel Type:]],EFTable[],3,FALSE)))</f>
        <v/>
      </c>
      <c r="BC24" s="187" t="str">
        <f>IF(Table2[[#This Row],[Counter Number]]="","",Table2[[#This Row],[Old Bus NOx Emissions (tons/yr)]]-Table2[[#This Row],[New Bus NOx Emissions (tons/yr)]])</f>
        <v/>
      </c>
      <c r="BD24" s="188" t="str">
        <f>IF(Table2[[#This Row],[Counter Number]]="","",Table2[[#This Row],[Reduction Bus NOx Emissions (tons/yr)]]/Table2[[#This Row],[Old Bus NOx Emissions (tons/yr)]])</f>
        <v/>
      </c>
      <c r="BE24" s="175" t="str">
        <f>IF(Table2[[#This Row],[Counter Number]]="","",Table2[[#This Row],[Reduction Bus NOx Emissions (tons/yr)]]*Table2[[#This Row],[Remaining Life:]])</f>
        <v/>
      </c>
      <c r="BF24" s="189" t="str">
        <f>IF(Table2[[#This Row],[Counter Number]]="","",IF(Table2[[#This Row],[Lifetime NOx Reduction (tons)]]=0,"NA",Table2[[#This Row],[Upgrade Cost Per Unit]]/Table2[[#This Row],[Lifetime NOx Reduction (tons)]]))</f>
        <v/>
      </c>
      <c r="BG24" s="190" t="str">
        <f>IF(Table2[[#This Row],[Counter Number]]="","",Table2[[#This Row],[Annual Miles Traveled:]]*VLOOKUP(Table2[[#This Row],[Engine Model Year:]],EF!$A$2:$G$27,4,FALSE))</f>
        <v/>
      </c>
      <c r="BH24" s="173" t="str">
        <f>IF(Table2[[#This Row],[Counter Number]]="","",Table2[[#This Row],[Annual Miles Traveled:]]*IF(Table2[[#This Row],[New Engine Fuel Type:]]="ULSD",VLOOKUP(Table2[[#This Row],[New Engine Model Year:]],EFTable[],4,FALSE),VLOOKUP(Table2[[#This Row],[New Engine Fuel Type:]],EFTable[],4,FALSE)))</f>
        <v/>
      </c>
      <c r="BI24" s="191" t="str">
        <f>IF(Table2[[#This Row],[Counter Number]]="","",Table2[[#This Row],[Old Bus PM2.5 Emissions (tons/yr)]]-Table2[[#This Row],[New Bus PM2.5 Emissions (tons/yr)]])</f>
        <v/>
      </c>
      <c r="BJ24" s="192" t="str">
        <f>IF(Table2[[#This Row],[Counter Number]]="","",Table2[[#This Row],[Reduction Bus PM2.5 Emissions (tons/yr)]]/Table2[[#This Row],[Old Bus PM2.5 Emissions (tons/yr)]])</f>
        <v/>
      </c>
      <c r="BK24" s="193" t="str">
        <f>IF(Table2[[#This Row],[Counter Number]]="","",Table2[[#This Row],[Reduction Bus PM2.5 Emissions (tons/yr)]]*Table2[[#This Row],[Remaining Life:]])</f>
        <v/>
      </c>
      <c r="BL24" s="194" t="str">
        <f>IF(Table2[[#This Row],[Counter Number]]="","",IF(Table2[[#This Row],[Lifetime PM2.5 Reduction (tons)]]=0,"NA",Table2[[#This Row],[Upgrade Cost Per Unit]]/Table2[[#This Row],[Lifetime PM2.5 Reduction (tons)]]))</f>
        <v/>
      </c>
      <c r="BM24" s="179" t="str">
        <f>IF(Table2[[#This Row],[Counter Number]]="","",Table2[[#This Row],[Annual Miles Traveled:]]*VLOOKUP(Table2[[#This Row],[Engine Model Year:]],EF!$A$2:$G$40,5,FALSE))</f>
        <v/>
      </c>
      <c r="BN24" s="173" t="str">
        <f>IF(Table2[[#This Row],[Counter Number]]="","",Table2[[#This Row],[Annual Miles Traveled:]]*IF(Table2[[#This Row],[New Engine Fuel Type:]]="ULSD",VLOOKUP(Table2[[#This Row],[New Engine Model Year:]],EFTable[],5,FALSE),VLOOKUP(Table2[[#This Row],[New Engine Fuel Type:]],EFTable[],5,FALSE)))</f>
        <v/>
      </c>
      <c r="BO24" s="190" t="str">
        <f>IF(Table2[[#This Row],[Counter Number]]="","",Table2[[#This Row],[Old Bus HC Emissions (tons/yr)]]-Table2[[#This Row],[New Bus HC Emissions (tons/yr)]])</f>
        <v/>
      </c>
      <c r="BP24" s="188" t="str">
        <f>IF(Table2[[#This Row],[Counter Number]]="","",Table2[[#This Row],[Reduction Bus HC Emissions (tons/yr)]]/Table2[[#This Row],[Old Bus HC Emissions (tons/yr)]])</f>
        <v/>
      </c>
      <c r="BQ24" s="193" t="str">
        <f>IF(Table2[[#This Row],[Counter Number]]="","",Table2[[#This Row],[Reduction Bus HC Emissions (tons/yr)]]*Table2[[#This Row],[Remaining Life:]])</f>
        <v/>
      </c>
      <c r="BR24" s="194" t="str">
        <f>IF(Table2[[#This Row],[Counter Number]]="","",IF(Table2[[#This Row],[Lifetime HC Reduction (tons)]]=0,"NA",Table2[[#This Row],[Upgrade Cost Per Unit]]/Table2[[#This Row],[Lifetime HC Reduction (tons)]]))</f>
        <v/>
      </c>
      <c r="BS24" s="191" t="str">
        <f>IF(Table2[[#This Row],[Counter Number]]="","",Table2[[#This Row],[Annual Miles Traveled:]]*VLOOKUP(Table2[[#This Row],[Engine Model Year:]],EF!$A$2:$G$27,6,FALSE))</f>
        <v/>
      </c>
      <c r="BT24" s="173" t="str">
        <f>IF(Table2[[#This Row],[Counter Number]]="","",Table2[[#This Row],[Annual Miles Traveled:]]*IF(Table2[[#This Row],[New Engine Fuel Type:]]="ULSD",VLOOKUP(Table2[[#This Row],[New Engine Model Year:]],EFTable[],6,FALSE),VLOOKUP(Table2[[#This Row],[New Engine Fuel Type:]],EFTable[],6,FALSE)))</f>
        <v/>
      </c>
      <c r="BU24" s="190" t="str">
        <f>IF(Table2[[#This Row],[Counter Number]]="","",Table2[[#This Row],[Old Bus CO Emissions (tons/yr)]]-Table2[[#This Row],[New Bus CO Emissions (tons/yr)]])</f>
        <v/>
      </c>
      <c r="BV24" s="188" t="str">
        <f>IF(Table2[[#This Row],[Counter Number]]="","",Table2[[#This Row],[Reduction Bus CO Emissions (tons/yr)]]/Table2[[#This Row],[Old Bus CO Emissions (tons/yr)]])</f>
        <v/>
      </c>
      <c r="BW24" s="193" t="str">
        <f>IF(Table2[[#This Row],[Counter Number]]="","",Table2[[#This Row],[Reduction Bus CO Emissions (tons/yr)]]*Table2[[#This Row],[Remaining Life:]])</f>
        <v/>
      </c>
      <c r="BX24" s="194" t="str">
        <f>IF(Table2[[#This Row],[Counter Number]]="","",IF(Table2[[#This Row],[Lifetime CO Reduction (tons)]]=0,"NA",Table2[[#This Row],[Upgrade Cost Per Unit]]/Table2[[#This Row],[Lifetime CO Reduction (tons)]]))</f>
        <v/>
      </c>
      <c r="BY24" s="180" t="str">
        <f>IF(Table2[[#This Row],[Counter Number]]="","",Table2[[#This Row],[Old ULSD Used (gal):]]*VLOOKUP(Table2[[#This Row],[Engine Model Year:]],EF!$A$2:$G$27,7,FALSE))</f>
        <v/>
      </c>
      <c r="BZ2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4" s="195" t="str">
        <f>IF(Table2[[#This Row],[Counter Number]]="","",Table2[[#This Row],[Old Bus CO2 Emissions (tons/yr)]]-Table2[[#This Row],[New Bus CO2 Emissions (tons/yr)]])</f>
        <v/>
      </c>
      <c r="CB24" s="188" t="str">
        <f>IF(Table2[[#This Row],[Counter Number]]="","",Table2[[#This Row],[Reduction Bus CO2 Emissions (tons/yr)]]/Table2[[#This Row],[Old Bus CO2 Emissions (tons/yr)]])</f>
        <v/>
      </c>
      <c r="CC24" s="195" t="str">
        <f>IF(Table2[[#This Row],[Counter Number]]="","",Table2[[#This Row],[Reduction Bus CO2 Emissions (tons/yr)]]*Table2[[#This Row],[Remaining Life:]])</f>
        <v/>
      </c>
      <c r="CD24" s="194" t="str">
        <f>IF(Table2[[#This Row],[Counter Number]]="","",IF(Table2[[#This Row],[Lifetime CO2 Reduction (tons)]]=0,"NA",Table2[[#This Row],[Upgrade Cost Per Unit]]/Table2[[#This Row],[Lifetime CO2 Reduction (tons)]]))</f>
        <v/>
      </c>
      <c r="CE24" s="182" t="str">
        <f>IF(Table2[[#This Row],[Counter Number]]="","",IF(Table2[[#This Row],[New ULSD Used (gal):]]="",Table2[[#This Row],[Old ULSD Used (gal):]],Table2[[#This Row],[Old ULSD Used (gal):]]-Table2[[#This Row],[New ULSD Used (gal):]]))</f>
        <v/>
      </c>
      <c r="CF24" s="196" t="str">
        <f>IF(Table2[[#This Row],[Counter Number]]="","",Table2[[#This Row],[Diesel Fuel Reduction (gal/yr)]]/Table2[[#This Row],[Old ULSD Used (gal):]])</f>
        <v/>
      </c>
      <c r="CG24" s="197" t="str">
        <f>IF(Table2[[#This Row],[Counter Number]]="","",Table2[[#This Row],[Diesel Fuel Reduction (gal/yr)]]*Table2[[#This Row],[Remaining Life:]])</f>
        <v/>
      </c>
    </row>
    <row r="25" spans="1:85" ht="15.45" customHeight="1">
      <c r="A25" s="184" t="str">
        <f>IF(A24&lt;Application!$D$24,A24+1,"")</f>
        <v/>
      </c>
      <c r="B25" s="60" t="str">
        <f>IF(Table2[[#This Row],[Counter Number]]="","",Application!$D$16)</f>
        <v/>
      </c>
      <c r="C25" s="60" t="str">
        <f>IF(Table2[[#This Row],[Counter Number]]="","",Application!$D$14)</f>
        <v/>
      </c>
      <c r="D25" s="60" t="str">
        <f>IF(Table2[[#This Row],[Counter Number]]="","",Table1[[#This Row],[Old Bus Number]])</f>
        <v/>
      </c>
      <c r="E25" s="60" t="str">
        <f>IF(Table2[[#This Row],[Counter Number]]="","",Application!$D$15)</f>
        <v/>
      </c>
      <c r="F25" s="60" t="str">
        <f>IF(Table2[[#This Row],[Counter Number]]="","","On Highway")</f>
        <v/>
      </c>
      <c r="G25" s="60" t="str">
        <f>IF(Table2[[#This Row],[Counter Number]]="","",I25)</f>
        <v/>
      </c>
      <c r="H25" s="60" t="str">
        <f>IF(Table2[[#This Row],[Counter Number]]="","","Georgia")</f>
        <v/>
      </c>
      <c r="I25" s="60" t="str">
        <f>IF(Table2[[#This Row],[Counter Number]]="","",Application!$D$16)</f>
        <v/>
      </c>
      <c r="J25" s="60" t="str">
        <f>IF(Table2[[#This Row],[Counter Number]]="","",Application!$D$21)</f>
        <v/>
      </c>
      <c r="K25" s="60" t="str">
        <f>IF(Table2[[#This Row],[Counter Number]]="","",Application!$J$21)</f>
        <v/>
      </c>
      <c r="L25" s="60" t="str">
        <f>IF(Table2[[#This Row],[Counter Number]]="","","School Bus")</f>
        <v/>
      </c>
      <c r="M25" s="60" t="str">
        <f>IF(Table2[[#This Row],[Counter Number]]="","","School Bus")</f>
        <v/>
      </c>
      <c r="N25" s="60" t="str">
        <f>IF(Table2[[#This Row],[Counter Number]]="","",1)</f>
        <v/>
      </c>
      <c r="O25" s="60" t="str">
        <f>IF(Table2[[#This Row],[Counter Number]]="","",Table1[[#This Row],[Vehicle Identification Number(s):]])</f>
        <v/>
      </c>
      <c r="P25" s="60" t="str">
        <f>IF(Table2[[#This Row],[Counter Number]]="","",Table1[[#This Row],[Old Bus Manufacturer:]])</f>
        <v/>
      </c>
      <c r="Q25" s="60" t="str">
        <f>IF(Table2[[#This Row],[Counter Number]]="","",Table1[[#This Row],[Vehicle Model:]])</f>
        <v/>
      </c>
      <c r="R25" s="165" t="str">
        <f>IF(Table2[[#This Row],[Counter Number]]="","",Table1[[#This Row],[Vehicle Model Year:]])</f>
        <v/>
      </c>
      <c r="S25" s="60" t="str">
        <f>IF(Table2[[#This Row],[Counter Number]]="","",Table1[[#This Row],[Engine Serial Number(s):]])</f>
        <v/>
      </c>
      <c r="T25" s="60" t="str">
        <f>IF(Table2[[#This Row],[Counter Number]]="","",Table1[[#This Row],[Engine Make:]])</f>
        <v/>
      </c>
      <c r="U25" s="60" t="str">
        <f>IF(Table2[[#This Row],[Counter Number]]="","",Table1[[#This Row],[Engine Model:]])</f>
        <v/>
      </c>
      <c r="V25" s="165" t="str">
        <f>IF(Table2[[#This Row],[Counter Number]]="","",Table1[[#This Row],[Engine Model Year:]])</f>
        <v/>
      </c>
      <c r="W25" s="60" t="str">
        <f>IF(Table2[[#This Row],[Counter Number]]="","","NA")</f>
        <v/>
      </c>
      <c r="X25" s="165" t="str">
        <f>IF(Table2[[#This Row],[Counter Number]]="","",Table1[[#This Row],[Engine Horsepower (HP):]])</f>
        <v/>
      </c>
      <c r="Y25" s="165" t="str">
        <f>IF(Table2[[#This Row],[Counter Number]]="","",Table1[[#This Row],[Engine Cylinder Displacement (L):]]&amp;" L")</f>
        <v/>
      </c>
      <c r="Z25" s="165" t="str">
        <f>IF(Table2[[#This Row],[Counter Number]]="","",Table1[[#This Row],[Engine Number of Cylinders:]])</f>
        <v/>
      </c>
      <c r="AA25" s="166" t="str">
        <f>IF(Table2[[#This Row],[Counter Number]]="","",Table1[[#This Row],[Engine Family Name:]])</f>
        <v/>
      </c>
      <c r="AB25" s="60" t="str">
        <f>IF(Table2[[#This Row],[Counter Number]]="","","ULSD")</f>
        <v/>
      </c>
      <c r="AC25" s="167" t="str">
        <f>IF(Table2[[#This Row],[Counter Number]]="","",Table2[[#This Row],[Annual Miles Traveled:]]/Table1[[#This Row],[Old Fuel (mpg)]])</f>
        <v/>
      </c>
      <c r="AD25" s="60" t="str">
        <f>IF(Table2[[#This Row],[Counter Number]]="","","NA")</f>
        <v/>
      </c>
      <c r="AE25" s="168" t="str">
        <f>IF(Table2[[#This Row],[Counter Number]]="","",Table1[[#This Row],[Annual Miles Traveled]])</f>
        <v/>
      </c>
      <c r="AF25" s="169" t="str">
        <f>IF(Table2[[#This Row],[Counter Number]]="","",Table1[[#This Row],[Annual Idling Hours:]])</f>
        <v/>
      </c>
      <c r="AG25" s="60" t="str">
        <f>IF(Table2[[#This Row],[Counter Number]]="","","NA")</f>
        <v/>
      </c>
      <c r="AH25" s="165" t="str">
        <f>IF(Table2[[#This Row],[Counter Number]]="","",IF(Application!$J$25="Set Policy",Table1[[#This Row],[Remaining Life (years)         Set Policy]],Table1[[#This Row],[Remaining Life (years)               Case-by-Case]]))</f>
        <v/>
      </c>
      <c r="AI25" s="165" t="str">
        <f>IF(Table2[[#This Row],[Counter Number]]="","",IF(Application!$J$25="Case-by-Case","NA",Table2[[#This Row],[Fiscal Year of EPA Funds Used:]]+Table2[[#This Row],[Remaining Life:]]))</f>
        <v/>
      </c>
      <c r="AJ25" s="165"/>
      <c r="AK25" s="170" t="str">
        <f>IF(Table2[[#This Row],[Counter Number]]="","",Application!$D$14+1)</f>
        <v/>
      </c>
      <c r="AL25" s="60" t="str">
        <f>IF(Table2[[#This Row],[Counter Number]]="","","Vehicle Replacement")</f>
        <v/>
      </c>
      <c r="AM2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5" s="171" t="str">
        <f>IF(Table2[[#This Row],[Counter Number]]="","",Table1[[#This Row],[Cost of New Bus:]])</f>
        <v/>
      </c>
      <c r="AO25" s="60" t="str">
        <f>IF(Table2[[#This Row],[Counter Number]]="","","NA")</f>
        <v/>
      </c>
      <c r="AP25" s="165" t="str">
        <f>IF(Table2[[#This Row],[Counter Number]]="","",Table1[[#This Row],[New Engine Model Year:]])</f>
        <v/>
      </c>
      <c r="AQ25" s="60" t="str">
        <f>IF(Table2[[#This Row],[Counter Number]]="","","NA")</f>
        <v/>
      </c>
      <c r="AR25" s="165" t="str">
        <f>IF(Table2[[#This Row],[Counter Number]]="","",Table1[[#This Row],[New Engine Horsepower (HP):]])</f>
        <v/>
      </c>
      <c r="AS25" s="60" t="str">
        <f>IF(Table2[[#This Row],[Counter Number]]="","","NA")</f>
        <v/>
      </c>
      <c r="AT25" s="165" t="str">
        <f>IF(Table2[[#This Row],[Counter Number]]="","",Table1[[#This Row],[New Engine Cylinder Displacement (L):]]&amp;" L")</f>
        <v/>
      </c>
      <c r="AU25" s="114" t="str">
        <f>IF(Table2[[#This Row],[Counter Number]]="","",Table1[[#This Row],[New Engine Number of Cylinders:]])</f>
        <v/>
      </c>
      <c r="AV25" s="60" t="str">
        <f>IF(Table2[[#This Row],[Counter Number]]="","",Table1[[#This Row],[New Engine Family Name:]])</f>
        <v/>
      </c>
      <c r="AW2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5" s="60" t="str">
        <f>IF(Table2[[#This Row],[Counter Number]]="","","NA")</f>
        <v/>
      </c>
      <c r="AY25" s="172" t="str">
        <f>IF(Table2[[#This Row],[Counter Number]]="","",IF(Table2[[#This Row],[New Engine Fuel Type:]]="ULSD",Table1[[#This Row],[Annual Miles Traveled]]/Table1[[#This Row],[New Fuel (mpg) if Diesel]],""))</f>
        <v/>
      </c>
      <c r="AZ25" s="60"/>
      <c r="BA25" s="173" t="str">
        <f>IF(Table2[[#This Row],[Counter Number]]="","",Table2[[#This Row],[Annual Miles Traveled:]]*VLOOKUP(Table2[[#This Row],[Engine Model Year:]],EFTable[],3,FALSE))</f>
        <v/>
      </c>
      <c r="BB25" s="173" t="str">
        <f>IF(Table2[[#This Row],[Counter Number]]="","",Table2[[#This Row],[Annual Miles Traveled:]]*IF(Table2[[#This Row],[New Engine Fuel Type:]]="ULSD",VLOOKUP(Table2[[#This Row],[New Engine Model Year:]],EFTable[],3,FALSE),VLOOKUP(Table2[[#This Row],[New Engine Fuel Type:]],EFTable[],3,FALSE)))</f>
        <v/>
      </c>
      <c r="BC25" s="187" t="str">
        <f>IF(Table2[[#This Row],[Counter Number]]="","",Table2[[#This Row],[Old Bus NOx Emissions (tons/yr)]]-Table2[[#This Row],[New Bus NOx Emissions (tons/yr)]])</f>
        <v/>
      </c>
      <c r="BD25" s="188" t="str">
        <f>IF(Table2[[#This Row],[Counter Number]]="","",Table2[[#This Row],[Reduction Bus NOx Emissions (tons/yr)]]/Table2[[#This Row],[Old Bus NOx Emissions (tons/yr)]])</f>
        <v/>
      </c>
      <c r="BE25" s="175" t="str">
        <f>IF(Table2[[#This Row],[Counter Number]]="","",Table2[[#This Row],[Reduction Bus NOx Emissions (tons/yr)]]*Table2[[#This Row],[Remaining Life:]])</f>
        <v/>
      </c>
      <c r="BF25" s="189" t="str">
        <f>IF(Table2[[#This Row],[Counter Number]]="","",IF(Table2[[#This Row],[Lifetime NOx Reduction (tons)]]=0,"NA",Table2[[#This Row],[Upgrade Cost Per Unit]]/Table2[[#This Row],[Lifetime NOx Reduction (tons)]]))</f>
        <v/>
      </c>
      <c r="BG25" s="190" t="str">
        <f>IF(Table2[[#This Row],[Counter Number]]="","",Table2[[#This Row],[Annual Miles Traveled:]]*VLOOKUP(Table2[[#This Row],[Engine Model Year:]],EF!$A$2:$G$27,4,FALSE))</f>
        <v/>
      </c>
      <c r="BH25" s="173" t="str">
        <f>IF(Table2[[#This Row],[Counter Number]]="","",Table2[[#This Row],[Annual Miles Traveled:]]*IF(Table2[[#This Row],[New Engine Fuel Type:]]="ULSD",VLOOKUP(Table2[[#This Row],[New Engine Model Year:]],EFTable[],4,FALSE),VLOOKUP(Table2[[#This Row],[New Engine Fuel Type:]],EFTable[],4,FALSE)))</f>
        <v/>
      </c>
      <c r="BI25" s="191" t="str">
        <f>IF(Table2[[#This Row],[Counter Number]]="","",Table2[[#This Row],[Old Bus PM2.5 Emissions (tons/yr)]]-Table2[[#This Row],[New Bus PM2.5 Emissions (tons/yr)]])</f>
        <v/>
      </c>
      <c r="BJ25" s="192" t="str">
        <f>IF(Table2[[#This Row],[Counter Number]]="","",Table2[[#This Row],[Reduction Bus PM2.5 Emissions (tons/yr)]]/Table2[[#This Row],[Old Bus PM2.5 Emissions (tons/yr)]])</f>
        <v/>
      </c>
      <c r="BK25" s="193" t="str">
        <f>IF(Table2[[#This Row],[Counter Number]]="","",Table2[[#This Row],[Reduction Bus PM2.5 Emissions (tons/yr)]]*Table2[[#This Row],[Remaining Life:]])</f>
        <v/>
      </c>
      <c r="BL25" s="194" t="str">
        <f>IF(Table2[[#This Row],[Counter Number]]="","",IF(Table2[[#This Row],[Lifetime PM2.5 Reduction (tons)]]=0,"NA",Table2[[#This Row],[Upgrade Cost Per Unit]]/Table2[[#This Row],[Lifetime PM2.5 Reduction (tons)]]))</f>
        <v/>
      </c>
      <c r="BM25" s="179" t="str">
        <f>IF(Table2[[#This Row],[Counter Number]]="","",Table2[[#This Row],[Annual Miles Traveled:]]*VLOOKUP(Table2[[#This Row],[Engine Model Year:]],EF!$A$2:$G$40,5,FALSE))</f>
        <v/>
      </c>
      <c r="BN25" s="173" t="str">
        <f>IF(Table2[[#This Row],[Counter Number]]="","",Table2[[#This Row],[Annual Miles Traveled:]]*IF(Table2[[#This Row],[New Engine Fuel Type:]]="ULSD",VLOOKUP(Table2[[#This Row],[New Engine Model Year:]],EFTable[],5,FALSE),VLOOKUP(Table2[[#This Row],[New Engine Fuel Type:]],EFTable[],5,FALSE)))</f>
        <v/>
      </c>
      <c r="BO25" s="190" t="str">
        <f>IF(Table2[[#This Row],[Counter Number]]="","",Table2[[#This Row],[Old Bus HC Emissions (tons/yr)]]-Table2[[#This Row],[New Bus HC Emissions (tons/yr)]])</f>
        <v/>
      </c>
      <c r="BP25" s="188" t="str">
        <f>IF(Table2[[#This Row],[Counter Number]]="","",Table2[[#This Row],[Reduction Bus HC Emissions (tons/yr)]]/Table2[[#This Row],[Old Bus HC Emissions (tons/yr)]])</f>
        <v/>
      </c>
      <c r="BQ25" s="193" t="str">
        <f>IF(Table2[[#This Row],[Counter Number]]="","",Table2[[#This Row],[Reduction Bus HC Emissions (tons/yr)]]*Table2[[#This Row],[Remaining Life:]])</f>
        <v/>
      </c>
      <c r="BR25" s="194" t="str">
        <f>IF(Table2[[#This Row],[Counter Number]]="","",IF(Table2[[#This Row],[Lifetime HC Reduction (tons)]]=0,"NA",Table2[[#This Row],[Upgrade Cost Per Unit]]/Table2[[#This Row],[Lifetime HC Reduction (tons)]]))</f>
        <v/>
      </c>
      <c r="BS25" s="191" t="str">
        <f>IF(Table2[[#This Row],[Counter Number]]="","",Table2[[#This Row],[Annual Miles Traveled:]]*VLOOKUP(Table2[[#This Row],[Engine Model Year:]],EF!$A$2:$G$27,6,FALSE))</f>
        <v/>
      </c>
      <c r="BT25" s="173" t="str">
        <f>IF(Table2[[#This Row],[Counter Number]]="","",Table2[[#This Row],[Annual Miles Traveled:]]*IF(Table2[[#This Row],[New Engine Fuel Type:]]="ULSD",VLOOKUP(Table2[[#This Row],[New Engine Model Year:]],EFTable[],6,FALSE),VLOOKUP(Table2[[#This Row],[New Engine Fuel Type:]],EFTable[],6,FALSE)))</f>
        <v/>
      </c>
      <c r="BU25" s="190" t="str">
        <f>IF(Table2[[#This Row],[Counter Number]]="","",Table2[[#This Row],[Old Bus CO Emissions (tons/yr)]]-Table2[[#This Row],[New Bus CO Emissions (tons/yr)]])</f>
        <v/>
      </c>
      <c r="BV25" s="188" t="str">
        <f>IF(Table2[[#This Row],[Counter Number]]="","",Table2[[#This Row],[Reduction Bus CO Emissions (tons/yr)]]/Table2[[#This Row],[Old Bus CO Emissions (tons/yr)]])</f>
        <v/>
      </c>
      <c r="BW25" s="193" t="str">
        <f>IF(Table2[[#This Row],[Counter Number]]="","",Table2[[#This Row],[Reduction Bus CO Emissions (tons/yr)]]*Table2[[#This Row],[Remaining Life:]])</f>
        <v/>
      </c>
      <c r="BX25" s="194" t="str">
        <f>IF(Table2[[#This Row],[Counter Number]]="","",IF(Table2[[#This Row],[Lifetime CO Reduction (tons)]]=0,"NA",Table2[[#This Row],[Upgrade Cost Per Unit]]/Table2[[#This Row],[Lifetime CO Reduction (tons)]]))</f>
        <v/>
      </c>
      <c r="BY25" s="180" t="str">
        <f>IF(Table2[[#This Row],[Counter Number]]="","",Table2[[#This Row],[Old ULSD Used (gal):]]*VLOOKUP(Table2[[#This Row],[Engine Model Year:]],EF!$A$2:$G$27,7,FALSE))</f>
        <v/>
      </c>
      <c r="BZ2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5" s="195" t="str">
        <f>IF(Table2[[#This Row],[Counter Number]]="","",Table2[[#This Row],[Old Bus CO2 Emissions (tons/yr)]]-Table2[[#This Row],[New Bus CO2 Emissions (tons/yr)]])</f>
        <v/>
      </c>
      <c r="CB25" s="188" t="str">
        <f>IF(Table2[[#This Row],[Counter Number]]="","",Table2[[#This Row],[Reduction Bus CO2 Emissions (tons/yr)]]/Table2[[#This Row],[Old Bus CO2 Emissions (tons/yr)]])</f>
        <v/>
      </c>
      <c r="CC25" s="195" t="str">
        <f>IF(Table2[[#This Row],[Counter Number]]="","",Table2[[#This Row],[Reduction Bus CO2 Emissions (tons/yr)]]*Table2[[#This Row],[Remaining Life:]])</f>
        <v/>
      </c>
      <c r="CD25" s="194" t="str">
        <f>IF(Table2[[#This Row],[Counter Number]]="","",IF(Table2[[#This Row],[Lifetime CO2 Reduction (tons)]]=0,"NA",Table2[[#This Row],[Upgrade Cost Per Unit]]/Table2[[#This Row],[Lifetime CO2 Reduction (tons)]]))</f>
        <v/>
      </c>
      <c r="CE25" s="182" t="str">
        <f>IF(Table2[[#This Row],[Counter Number]]="","",IF(Table2[[#This Row],[New ULSD Used (gal):]]="",Table2[[#This Row],[Old ULSD Used (gal):]],Table2[[#This Row],[Old ULSD Used (gal):]]-Table2[[#This Row],[New ULSD Used (gal):]]))</f>
        <v/>
      </c>
      <c r="CF25" s="196" t="str">
        <f>IF(Table2[[#This Row],[Counter Number]]="","",Table2[[#This Row],[Diesel Fuel Reduction (gal/yr)]]/Table2[[#This Row],[Old ULSD Used (gal):]])</f>
        <v/>
      </c>
      <c r="CG25" s="197" t="str">
        <f>IF(Table2[[#This Row],[Counter Number]]="","",Table2[[#This Row],[Diesel Fuel Reduction (gal/yr)]]*Table2[[#This Row],[Remaining Life:]])</f>
        <v/>
      </c>
    </row>
    <row r="26" spans="1:85" ht="15.45" customHeight="1">
      <c r="A26" s="184" t="str">
        <f>IF(A25&lt;Application!$D$24,A25+1,"")</f>
        <v/>
      </c>
      <c r="B26" s="60" t="str">
        <f>IF(Table2[[#This Row],[Counter Number]]="","",Application!$D$16)</f>
        <v/>
      </c>
      <c r="C26" s="60" t="str">
        <f>IF(Table2[[#This Row],[Counter Number]]="","",Application!$D$14)</f>
        <v/>
      </c>
      <c r="D26" s="60" t="str">
        <f>IF(Table2[[#This Row],[Counter Number]]="","",Table1[[#This Row],[Old Bus Number]])</f>
        <v/>
      </c>
      <c r="E26" s="60" t="str">
        <f>IF(Table2[[#This Row],[Counter Number]]="","",Application!$D$15)</f>
        <v/>
      </c>
      <c r="F26" s="60" t="str">
        <f>IF(Table2[[#This Row],[Counter Number]]="","","On Highway")</f>
        <v/>
      </c>
      <c r="G26" s="60" t="str">
        <f>IF(Table2[[#This Row],[Counter Number]]="","",I26)</f>
        <v/>
      </c>
      <c r="H26" s="60" t="str">
        <f>IF(Table2[[#This Row],[Counter Number]]="","","Georgia")</f>
        <v/>
      </c>
      <c r="I26" s="60" t="str">
        <f>IF(Table2[[#This Row],[Counter Number]]="","",Application!$D$16)</f>
        <v/>
      </c>
      <c r="J26" s="60" t="str">
        <f>IF(Table2[[#This Row],[Counter Number]]="","",Application!$D$21)</f>
        <v/>
      </c>
      <c r="K26" s="60" t="str">
        <f>IF(Table2[[#This Row],[Counter Number]]="","",Application!$J$21)</f>
        <v/>
      </c>
      <c r="L26" s="60" t="str">
        <f>IF(Table2[[#This Row],[Counter Number]]="","","School Bus")</f>
        <v/>
      </c>
      <c r="M26" s="60" t="str">
        <f>IF(Table2[[#This Row],[Counter Number]]="","","School Bus")</f>
        <v/>
      </c>
      <c r="N26" s="60" t="str">
        <f>IF(Table2[[#This Row],[Counter Number]]="","",1)</f>
        <v/>
      </c>
      <c r="O26" s="60" t="str">
        <f>IF(Table2[[#This Row],[Counter Number]]="","",Table1[[#This Row],[Vehicle Identification Number(s):]])</f>
        <v/>
      </c>
      <c r="P26" s="60" t="str">
        <f>IF(Table2[[#This Row],[Counter Number]]="","",Table1[[#This Row],[Old Bus Manufacturer:]])</f>
        <v/>
      </c>
      <c r="Q26" s="60" t="str">
        <f>IF(Table2[[#This Row],[Counter Number]]="","",Table1[[#This Row],[Vehicle Model:]])</f>
        <v/>
      </c>
      <c r="R26" s="165" t="str">
        <f>IF(Table2[[#This Row],[Counter Number]]="","",Table1[[#This Row],[Vehicle Model Year:]])</f>
        <v/>
      </c>
      <c r="S26" s="60" t="str">
        <f>IF(Table2[[#This Row],[Counter Number]]="","",Table1[[#This Row],[Engine Serial Number(s):]])</f>
        <v/>
      </c>
      <c r="T26" s="60" t="str">
        <f>IF(Table2[[#This Row],[Counter Number]]="","",Table1[[#This Row],[Engine Make:]])</f>
        <v/>
      </c>
      <c r="U26" s="60" t="str">
        <f>IF(Table2[[#This Row],[Counter Number]]="","",Table1[[#This Row],[Engine Model:]])</f>
        <v/>
      </c>
      <c r="V26" s="165" t="str">
        <f>IF(Table2[[#This Row],[Counter Number]]="","",Table1[[#This Row],[Engine Model Year:]])</f>
        <v/>
      </c>
      <c r="W26" s="60" t="str">
        <f>IF(Table2[[#This Row],[Counter Number]]="","","NA")</f>
        <v/>
      </c>
      <c r="X26" s="165" t="str">
        <f>IF(Table2[[#This Row],[Counter Number]]="","",Table1[[#This Row],[Engine Horsepower (HP):]])</f>
        <v/>
      </c>
      <c r="Y26" s="165" t="str">
        <f>IF(Table2[[#This Row],[Counter Number]]="","",Table1[[#This Row],[Engine Cylinder Displacement (L):]]&amp;" L")</f>
        <v/>
      </c>
      <c r="Z26" s="165" t="str">
        <f>IF(Table2[[#This Row],[Counter Number]]="","",Table1[[#This Row],[Engine Number of Cylinders:]])</f>
        <v/>
      </c>
      <c r="AA26" s="166" t="str">
        <f>IF(Table2[[#This Row],[Counter Number]]="","",Table1[[#This Row],[Engine Family Name:]])</f>
        <v/>
      </c>
      <c r="AB26" s="60" t="str">
        <f>IF(Table2[[#This Row],[Counter Number]]="","","ULSD")</f>
        <v/>
      </c>
      <c r="AC26" s="167" t="str">
        <f>IF(Table2[[#This Row],[Counter Number]]="","",Table2[[#This Row],[Annual Miles Traveled:]]/Table1[[#This Row],[Old Fuel (mpg)]])</f>
        <v/>
      </c>
      <c r="AD26" s="60" t="str">
        <f>IF(Table2[[#This Row],[Counter Number]]="","","NA")</f>
        <v/>
      </c>
      <c r="AE26" s="168" t="str">
        <f>IF(Table2[[#This Row],[Counter Number]]="","",Table1[[#This Row],[Annual Miles Traveled]])</f>
        <v/>
      </c>
      <c r="AF26" s="169" t="str">
        <f>IF(Table2[[#This Row],[Counter Number]]="","",Table1[[#This Row],[Annual Idling Hours:]])</f>
        <v/>
      </c>
      <c r="AG26" s="60" t="str">
        <f>IF(Table2[[#This Row],[Counter Number]]="","","NA")</f>
        <v/>
      </c>
      <c r="AH26" s="165" t="str">
        <f>IF(Table2[[#This Row],[Counter Number]]="","",IF(Application!$J$25="Set Policy",Table1[[#This Row],[Remaining Life (years)         Set Policy]],Table1[[#This Row],[Remaining Life (years)               Case-by-Case]]))</f>
        <v/>
      </c>
      <c r="AI26" s="165" t="str">
        <f>IF(Table2[[#This Row],[Counter Number]]="","",IF(Application!$J$25="Case-by-Case","NA",Table2[[#This Row],[Fiscal Year of EPA Funds Used:]]+Table2[[#This Row],[Remaining Life:]]))</f>
        <v/>
      </c>
      <c r="AJ26" s="165"/>
      <c r="AK26" s="170" t="str">
        <f>IF(Table2[[#This Row],[Counter Number]]="","",Application!$D$14+1)</f>
        <v/>
      </c>
      <c r="AL26" s="60" t="str">
        <f>IF(Table2[[#This Row],[Counter Number]]="","","Vehicle Replacement")</f>
        <v/>
      </c>
      <c r="AM2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6" s="171" t="str">
        <f>IF(Table2[[#This Row],[Counter Number]]="","",Table1[[#This Row],[Cost of New Bus:]])</f>
        <v/>
      </c>
      <c r="AO26" s="60" t="str">
        <f>IF(Table2[[#This Row],[Counter Number]]="","","NA")</f>
        <v/>
      </c>
      <c r="AP26" s="165" t="str">
        <f>IF(Table2[[#This Row],[Counter Number]]="","",Table1[[#This Row],[New Engine Model Year:]])</f>
        <v/>
      </c>
      <c r="AQ26" s="60" t="str">
        <f>IF(Table2[[#This Row],[Counter Number]]="","","NA")</f>
        <v/>
      </c>
      <c r="AR26" s="165" t="str">
        <f>IF(Table2[[#This Row],[Counter Number]]="","",Table1[[#This Row],[New Engine Horsepower (HP):]])</f>
        <v/>
      </c>
      <c r="AS26" s="60" t="str">
        <f>IF(Table2[[#This Row],[Counter Number]]="","","NA")</f>
        <v/>
      </c>
      <c r="AT26" s="165" t="str">
        <f>IF(Table2[[#This Row],[Counter Number]]="","",Table1[[#This Row],[New Engine Cylinder Displacement (L):]]&amp;" L")</f>
        <v/>
      </c>
      <c r="AU26" s="114" t="str">
        <f>IF(Table2[[#This Row],[Counter Number]]="","",Table1[[#This Row],[New Engine Number of Cylinders:]])</f>
        <v/>
      </c>
      <c r="AV26" s="60" t="str">
        <f>IF(Table2[[#This Row],[Counter Number]]="","",Table1[[#This Row],[New Engine Family Name:]])</f>
        <v/>
      </c>
      <c r="AW2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6" s="60" t="str">
        <f>IF(Table2[[#This Row],[Counter Number]]="","","NA")</f>
        <v/>
      </c>
      <c r="AY26" s="172" t="str">
        <f>IF(Table2[[#This Row],[Counter Number]]="","",IF(Table2[[#This Row],[New Engine Fuel Type:]]="ULSD",Table1[[#This Row],[Annual Miles Traveled]]/Table1[[#This Row],[New Fuel (mpg) if Diesel]],""))</f>
        <v/>
      </c>
      <c r="AZ26" s="60"/>
      <c r="BA26" s="173" t="str">
        <f>IF(Table2[[#This Row],[Counter Number]]="","",Table2[[#This Row],[Annual Miles Traveled:]]*VLOOKUP(Table2[[#This Row],[Engine Model Year:]],EFTable[],3,FALSE))</f>
        <v/>
      </c>
      <c r="BB26" s="173" t="str">
        <f>IF(Table2[[#This Row],[Counter Number]]="","",Table2[[#This Row],[Annual Miles Traveled:]]*IF(Table2[[#This Row],[New Engine Fuel Type:]]="ULSD",VLOOKUP(Table2[[#This Row],[New Engine Model Year:]],EFTable[],3,FALSE),VLOOKUP(Table2[[#This Row],[New Engine Fuel Type:]],EFTable[],3,FALSE)))</f>
        <v/>
      </c>
      <c r="BC26" s="187" t="str">
        <f>IF(Table2[[#This Row],[Counter Number]]="","",Table2[[#This Row],[Old Bus NOx Emissions (tons/yr)]]-Table2[[#This Row],[New Bus NOx Emissions (tons/yr)]])</f>
        <v/>
      </c>
      <c r="BD26" s="188" t="str">
        <f>IF(Table2[[#This Row],[Counter Number]]="","",Table2[[#This Row],[Reduction Bus NOx Emissions (tons/yr)]]/Table2[[#This Row],[Old Bus NOx Emissions (tons/yr)]])</f>
        <v/>
      </c>
      <c r="BE26" s="175" t="str">
        <f>IF(Table2[[#This Row],[Counter Number]]="","",Table2[[#This Row],[Reduction Bus NOx Emissions (tons/yr)]]*Table2[[#This Row],[Remaining Life:]])</f>
        <v/>
      </c>
      <c r="BF26" s="189" t="str">
        <f>IF(Table2[[#This Row],[Counter Number]]="","",IF(Table2[[#This Row],[Lifetime NOx Reduction (tons)]]=0,"NA",Table2[[#This Row],[Upgrade Cost Per Unit]]/Table2[[#This Row],[Lifetime NOx Reduction (tons)]]))</f>
        <v/>
      </c>
      <c r="BG26" s="190" t="str">
        <f>IF(Table2[[#This Row],[Counter Number]]="","",Table2[[#This Row],[Annual Miles Traveled:]]*VLOOKUP(Table2[[#This Row],[Engine Model Year:]],EF!$A$2:$G$27,4,FALSE))</f>
        <v/>
      </c>
      <c r="BH26" s="173" t="str">
        <f>IF(Table2[[#This Row],[Counter Number]]="","",Table2[[#This Row],[Annual Miles Traveled:]]*IF(Table2[[#This Row],[New Engine Fuel Type:]]="ULSD",VLOOKUP(Table2[[#This Row],[New Engine Model Year:]],EFTable[],4,FALSE),VLOOKUP(Table2[[#This Row],[New Engine Fuel Type:]],EFTable[],4,FALSE)))</f>
        <v/>
      </c>
      <c r="BI26" s="191" t="str">
        <f>IF(Table2[[#This Row],[Counter Number]]="","",Table2[[#This Row],[Old Bus PM2.5 Emissions (tons/yr)]]-Table2[[#This Row],[New Bus PM2.5 Emissions (tons/yr)]])</f>
        <v/>
      </c>
      <c r="BJ26" s="192" t="str">
        <f>IF(Table2[[#This Row],[Counter Number]]="","",Table2[[#This Row],[Reduction Bus PM2.5 Emissions (tons/yr)]]/Table2[[#This Row],[Old Bus PM2.5 Emissions (tons/yr)]])</f>
        <v/>
      </c>
      <c r="BK26" s="193" t="str">
        <f>IF(Table2[[#This Row],[Counter Number]]="","",Table2[[#This Row],[Reduction Bus PM2.5 Emissions (tons/yr)]]*Table2[[#This Row],[Remaining Life:]])</f>
        <v/>
      </c>
      <c r="BL26" s="194" t="str">
        <f>IF(Table2[[#This Row],[Counter Number]]="","",IF(Table2[[#This Row],[Lifetime PM2.5 Reduction (tons)]]=0,"NA",Table2[[#This Row],[Upgrade Cost Per Unit]]/Table2[[#This Row],[Lifetime PM2.5 Reduction (tons)]]))</f>
        <v/>
      </c>
      <c r="BM26" s="179" t="str">
        <f>IF(Table2[[#This Row],[Counter Number]]="","",Table2[[#This Row],[Annual Miles Traveled:]]*VLOOKUP(Table2[[#This Row],[Engine Model Year:]],EF!$A$2:$G$40,5,FALSE))</f>
        <v/>
      </c>
      <c r="BN26" s="173" t="str">
        <f>IF(Table2[[#This Row],[Counter Number]]="","",Table2[[#This Row],[Annual Miles Traveled:]]*IF(Table2[[#This Row],[New Engine Fuel Type:]]="ULSD",VLOOKUP(Table2[[#This Row],[New Engine Model Year:]],EFTable[],5,FALSE),VLOOKUP(Table2[[#This Row],[New Engine Fuel Type:]],EFTable[],5,FALSE)))</f>
        <v/>
      </c>
      <c r="BO26" s="190" t="str">
        <f>IF(Table2[[#This Row],[Counter Number]]="","",Table2[[#This Row],[Old Bus HC Emissions (tons/yr)]]-Table2[[#This Row],[New Bus HC Emissions (tons/yr)]])</f>
        <v/>
      </c>
      <c r="BP26" s="188" t="str">
        <f>IF(Table2[[#This Row],[Counter Number]]="","",Table2[[#This Row],[Reduction Bus HC Emissions (tons/yr)]]/Table2[[#This Row],[Old Bus HC Emissions (tons/yr)]])</f>
        <v/>
      </c>
      <c r="BQ26" s="193" t="str">
        <f>IF(Table2[[#This Row],[Counter Number]]="","",Table2[[#This Row],[Reduction Bus HC Emissions (tons/yr)]]*Table2[[#This Row],[Remaining Life:]])</f>
        <v/>
      </c>
      <c r="BR26" s="194" t="str">
        <f>IF(Table2[[#This Row],[Counter Number]]="","",IF(Table2[[#This Row],[Lifetime HC Reduction (tons)]]=0,"NA",Table2[[#This Row],[Upgrade Cost Per Unit]]/Table2[[#This Row],[Lifetime HC Reduction (tons)]]))</f>
        <v/>
      </c>
      <c r="BS26" s="191" t="str">
        <f>IF(Table2[[#This Row],[Counter Number]]="","",Table2[[#This Row],[Annual Miles Traveled:]]*VLOOKUP(Table2[[#This Row],[Engine Model Year:]],EF!$A$2:$G$27,6,FALSE))</f>
        <v/>
      </c>
      <c r="BT26" s="173" t="str">
        <f>IF(Table2[[#This Row],[Counter Number]]="","",Table2[[#This Row],[Annual Miles Traveled:]]*IF(Table2[[#This Row],[New Engine Fuel Type:]]="ULSD",VLOOKUP(Table2[[#This Row],[New Engine Model Year:]],EFTable[],6,FALSE),VLOOKUP(Table2[[#This Row],[New Engine Fuel Type:]],EFTable[],6,FALSE)))</f>
        <v/>
      </c>
      <c r="BU26" s="190" t="str">
        <f>IF(Table2[[#This Row],[Counter Number]]="","",Table2[[#This Row],[Old Bus CO Emissions (tons/yr)]]-Table2[[#This Row],[New Bus CO Emissions (tons/yr)]])</f>
        <v/>
      </c>
      <c r="BV26" s="188" t="str">
        <f>IF(Table2[[#This Row],[Counter Number]]="","",Table2[[#This Row],[Reduction Bus CO Emissions (tons/yr)]]/Table2[[#This Row],[Old Bus CO Emissions (tons/yr)]])</f>
        <v/>
      </c>
      <c r="BW26" s="193" t="str">
        <f>IF(Table2[[#This Row],[Counter Number]]="","",Table2[[#This Row],[Reduction Bus CO Emissions (tons/yr)]]*Table2[[#This Row],[Remaining Life:]])</f>
        <v/>
      </c>
      <c r="BX26" s="194" t="str">
        <f>IF(Table2[[#This Row],[Counter Number]]="","",IF(Table2[[#This Row],[Lifetime CO Reduction (tons)]]=0,"NA",Table2[[#This Row],[Upgrade Cost Per Unit]]/Table2[[#This Row],[Lifetime CO Reduction (tons)]]))</f>
        <v/>
      </c>
      <c r="BY26" s="180" t="str">
        <f>IF(Table2[[#This Row],[Counter Number]]="","",Table2[[#This Row],[Old ULSD Used (gal):]]*VLOOKUP(Table2[[#This Row],[Engine Model Year:]],EF!$A$2:$G$27,7,FALSE))</f>
        <v/>
      </c>
      <c r="BZ2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6" s="195" t="str">
        <f>IF(Table2[[#This Row],[Counter Number]]="","",Table2[[#This Row],[Old Bus CO2 Emissions (tons/yr)]]-Table2[[#This Row],[New Bus CO2 Emissions (tons/yr)]])</f>
        <v/>
      </c>
      <c r="CB26" s="188" t="str">
        <f>IF(Table2[[#This Row],[Counter Number]]="","",Table2[[#This Row],[Reduction Bus CO2 Emissions (tons/yr)]]/Table2[[#This Row],[Old Bus CO2 Emissions (tons/yr)]])</f>
        <v/>
      </c>
      <c r="CC26" s="195" t="str">
        <f>IF(Table2[[#This Row],[Counter Number]]="","",Table2[[#This Row],[Reduction Bus CO2 Emissions (tons/yr)]]*Table2[[#This Row],[Remaining Life:]])</f>
        <v/>
      </c>
      <c r="CD26" s="194" t="str">
        <f>IF(Table2[[#This Row],[Counter Number]]="","",IF(Table2[[#This Row],[Lifetime CO2 Reduction (tons)]]=0,"NA",Table2[[#This Row],[Upgrade Cost Per Unit]]/Table2[[#This Row],[Lifetime CO2 Reduction (tons)]]))</f>
        <v/>
      </c>
      <c r="CE26" s="182" t="str">
        <f>IF(Table2[[#This Row],[Counter Number]]="","",IF(Table2[[#This Row],[New ULSD Used (gal):]]="",Table2[[#This Row],[Old ULSD Used (gal):]],Table2[[#This Row],[Old ULSD Used (gal):]]-Table2[[#This Row],[New ULSD Used (gal):]]))</f>
        <v/>
      </c>
      <c r="CF26" s="196" t="str">
        <f>IF(Table2[[#This Row],[Counter Number]]="","",Table2[[#This Row],[Diesel Fuel Reduction (gal/yr)]]/Table2[[#This Row],[Old ULSD Used (gal):]])</f>
        <v/>
      </c>
      <c r="CG26" s="197" t="str">
        <f>IF(Table2[[#This Row],[Counter Number]]="","",Table2[[#This Row],[Diesel Fuel Reduction (gal/yr)]]*Table2[[#This Row],[Remaining Life:]])</f>
        <v/>
      </c>
    </row>
    <row r="27" spans="1:85" ht="15.45" customHeight="1">
      <c r="A27" s="184" t="str">
        <f>IF(A26&lt;Application!$D$24,A26+1,"")</f>
        <v/>
      </c>
      <c r="B27" s="60" t="str">
        <f>IF(Table2[[#This Row],[Counter Number]]="","",Application!$D$16)</f>
        <v/>
      </c>
      <c r="C27" s="60" t="str">
        <f>IF(Table2[[#This Row],[Counter Number]]="","",Application!$D$14)</f>
        <v/>
      </c>
      <c r="D27" s="60" t="str">
        <f>IF(Table2[[#This Row],[Counter Number]]="","",Table1[[#This Row],[Old Bus Number]])</f>
        <v/>
      </c>
      <c r="E27" s="60" t="str">
        <f>IF(Table2[[#This Row],[Counter Number]]="","",Application!$D$15)</f>
        <v/>
      </c>
      <c r="F27" s="60" t="str">
        <f>IF(Table2[[#This Row],[Counter Number]]="","","On Highway")</f>
        <v/>
      </c>
      <c r="G27" s="60" t="str">
        <f>IF(Table2[[#This Row],[Counter Number]]="","",I27)</f>
        <v/>
      </c>
      <c r="H27" s="60" t="str">
        <f>IF(Table2[[#This Row],[Counter Number]]="","","Georgia")</f>
        <v/>
      </c>
      <c r="I27" s="60" t="str">
        <f>IF(Table2[[#This Row],[Counter Number]]="","",Application!$D$16)</f>
        <v/>
      </c>
      <c r="J27" s="60" t="str">
        <f>IF(Table2[[#This Row],[Counter Number]]="","",Application!$D$21)</f>
        <v/>
      </c>
      <c r="K27" s="60" t="str">
        <f>IF(Table2[[#This Row],[Counter Number]]="","",Application!$J$21)</f>
        <v/>
      </c>
      <c r="L27" s="60" t="str">
        <f>IF(Table2[[#This Row],[Counter Number]]="","","School Bus")</f>
        <v/>
      </c>
      <c r="M27" s="60" t="str">
        <f>IF(Table2[[#This Row],[Counter Number]]="","","School Bus")</f>
        <v/>
      </c>
      <c r="N27" s="60" t="str">
        <f>IF(Table2[[#This Row],[Counter Number]]="","",1)</f>
        <v/>
      </c>
      <c r="O27" s="60" t="str">
        <f>IF(Table2[[#This Row],[Counter Number]]="","",Table1[[#This Row],[Vehicle Identification Number(s):]])</f>
        <v/>
      </c>
      <c r="P27" s="60" t="str">
        <f>IF(Table2[[#This Row],[Counter Number]]="","",Table1[[#This Row],[Old Bus Manufacturer:]])</f>
        <v/>
      </c>
      <c r="Q27" s="60" t="str">
        <f>IF(Table2[[#This Row],[Counter Number]]="","",Table1[[#This Row],[Vehicle Model:]])</f>
        <v/>
      </c>
      <c r="R27" s="165" t="str">
        <f>IF(Table2[[#This Row],[Counter Number]]="","",Table1[[#This Row],[Vehicle Model Year:]])</f>
        <v/>
      </c>
      <c r="S27" s="60" t="str">
        <f>IF(Table2[[#This Row],[Counter Number]]="","",Table1[[#This Row],[Engine Serial Number(s):]])</f>
        <v/>
      </c>
      <c r="T27" s="60" t="str">
        <f>IF(Table2[[#This Row],[Counter Number]]="","",Table1[[#This Row],[Engine Make:]])</f>
        <v/>
      </c>
      <c r="U27" s="60" t="str">
        <f>IF(Table2[[#This Row],[Counter Number]]="","",Table1[[#This Row],[Engine Model:]])</f>
        <v/>
      </c>
      <c r="V27" s="165" t="str">
        <f>IF(Table2[[#This Row],[Counter Number]]="","",Table1[[#This Row],[Engine Model Year:]])</f>
        <v/>
      </c>
      <c r="W27" s="60" t="str">
        <f>IF(Table2[[#This Row],[Counter Number]]="","","NA")</f>
        <v/>
      </c>
      <c r="X27" s="165" t="str">
        <f>IF(Table2[[#This Row],[Counter Number]]="","",Table1[[#This Row],[Engine Horsepower (HP):]])</f>
        <v/>
      </c>
      <c r="Y27" s="165" t="str">
        <f>IF(Table2[[#This Row],[Counter Number]]="","",Table1[[#This Row],[Engine Cylinder Displacement (L):]]&amp;" L")</f>
        <v/>
      </c>
      <c r="Z27" s="165" t="str">
        <f>IF(Table2[[#This Row],[Counter Number]]="","",Table1[[#This Row],[Engine Number of Cylinders:]])</f>
        <v/>
      </c>
      <c r="AA27" s="166" t="str">
        <f>IF(Table2[[#This Row],[Counter Number]]="","",Table1[[#This Row],[Engine Family Name:]])</f>
        <v/>
      </c>
      <c r="AB27" s="60" t="str">
        <f>IF(Table2[[#This Row],[Counter Number]]="","","ULSD")</f>
        <v/>
      </c>
      <c r="AC27" s="167" t="str">
        <f>IF(Table2[[#This Row],[Counter Number]]="","",Table2[[#This Row],[Annual Miles Traveled:]]/Table1[[#This Row],[Old Fuel (mpg)]])</f>
        <v/>
      </c>
      <c r="AD27" s="60" t="str">
        <f>IF(Table2[[#This Row],[Counter Number]]="","","NA")</f>
        <v/>
      </c>
      <c r="AE27" s="168" t="str">
        <f>IF(Table2[[#This Row],[Counter Number]]="","",Table1[[#This Row],[Annual Miles Traveled]])</f>
        <v/>
      </c>
      <c r="AF27" s="169" t="str">
        <f>IF(Table2[[#This Row],[Counter Number]]="","",Table1[[#This Row],[Annual Idling Hours:]])</f>
        <v/>
      </c>
      <c r="AG27" s="60" t="str">
        <f>IF(Table2[[#This Row],[Counter Number]]="","","NA")</f>
        <v/>
      </c>
      <c r="AH27" s="165" t="str">
        <f>IF(Table2[[#This Row],[Counter Number]]="","",IF(Application!$J$25="Set Policy",Table1[[#This Row],[Remaining Life (years)         Set Policy]],Table1[[#This Row],[Remaining Life (years)               Case-by-Case]]))</f>
        <v/>
      </c>
      <c r="AI27" s="165" t="str">
        <f>IF(Table2[[#This Row],[Counter Number]]="","",IF(Application!$J$25="Case-by-Case","NA",Table2[[#This Row],[Fiscal Year of EPA Funds Used:]]+Table2[[#This Row],[Remaining Life:]]))</f>
        <v/>
      </c>
      <c r="AJ27" s="165"/>
      <c r="AK27" s="170" t="str">
        <f>IF(Table2[[#This Row],[Counter Number]]="","",Application!$D$14+1)</f>
        <v/>
      </c>
      <c r="AL27" s="60" t="str">
        <f>IF(Table2[[#This Row],[Counter Number]]="","","Vehicle Replacement")</f>
        <v/>
      </c>
      <c r="AM2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7" s="171" t="str">
        <f>IF(Table2[[#This Row],[Counter Number]]="","",Table1[[#This Row],[Cost of New Bus:]])</f>
        <v/>
      </c>
      <c r="AO27" s="60" t="str">
        <f>IF(Table2[[#This Row],[Counter Number]]="","","NA")</f>
        <v/>
      </c>
      <c r="AP27" s="165" t="str">
        <f>IF(Table2[[#This Row],[Counter Number]]="","",Table1[[#This Row],[New Engine Model Year:]])</f>
        <v/>
      </c>
      <c r="AQ27" s="60" t="str">
        <f>IF(Table2[[#This Row],[Counter Number]]="","","NA")</f>
        <v/>
      </c>
      <c r="AR27" s="165" t="str">
        <f>IF(Table2[[#This Row],[Counter Number]]="","",Table1[[#This Row],[New Engine Horsepower (HP):]])</f>
        <v/>
      </c>
      <c r="AS27" s="60" t="str">
        <f>IF(Table2[[#This Row],[Counter Number]]="","","NA")</f>
        <v/>
      </c>
      <c r="AT27" s="165" t="str">
        <f>IF(Table2[[#This Row],[Counter Number]]="","",Table1[[#This Row],[New Engine Cylinder Displacement (L):]]&amp;" L")</f>
        <v/>
      </c>
      <c r="AU27" s="114" t="str">
        <f>IF(Table2[[#This Row],[Counter Number]]="","",Table1[[#This Row],[New Engine Number of Cylinders:]])</f>
        <v/>
      </c>
      <c r="AV27" s="60" t="str">
        <f>IF(Table2[[#This Row],[Counter Number]]="","",Table1[[#This Row],[New Engine Family Name:]])</f>
        <v/>
      </c>
      <c r="AW2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7" s="60" t="str">
        <f>IF(Table2[[#This Row],[Counter Number]]="","","NA")</f>
        <v/>
      </c>
      <c r="AY27" s="172" t="str">
        <f>IF(Table2[[#This Row],[Counter Number]]="","",IF(Table2[[#This Row],[New Engine Fuel Type:]]="ULSD",Table1[[#This Row],[Annual Miles Traveled]]/Table1[[#This Row],[New Fuel (mpg) if Diesel]],""))</f>
        <v/>
      </c>
      <c r="AZ27" s="60"/>
      <c r="BA27" s="173" t="str">
        <f>IF(Table2[[#This Row],[Counter Number]]="","",Table2[[#This Row],[Annual Miles Traveled:]]*VLOOKUP(Table2[[#This Row],[Engine Model Year:]],EFTable[],3,FALSE))</f>
        <v/>
      </c>
      <c r="BB27" s="173" t="str">
        <f>IF(Table2[[#This Row],[Counter Number]]="","",Table2[[#This Row],[Annual Miles Traveled:]]*IF(Table2[[#This Row],[New Engine Fuel Type:]]="ULSD",VLOOKUP(Table2[[#This Row],[New Engine Model Year:]],EFTable[],3,FALSE),VLOOKUP(Table2[[#This Row],[New Engine Fuel Type:]],EFTable[],3,FALSE)))</f>
        <v/>
      </c>
      <c r="BC27" s="187" t="str">
        <f>IF(Table2[[#This Row],[Counter Number]]="","",Table2[[#This Row],[Old Bus NOx Emissions (tons/yr)]]-Table2[[#This Row],[New Bus NOx Emissions (tons/yr)]])</f>
        <v/>
      </c>
      <c r="BD27" s="188" t="str">
        <f>IF(Table2[[#This Row],[Counter Number]]="","",Table2[[#This Row],[Reduction Bus NOx Emissions (tons/yr)]]/Table2[[#This Row],[Old Bus NOx Emissions (tons/yr)]])</f>
        <v/>
      </c>
      <c r="BE27" s="175" t="str">
        <f>IF(Table2[[#This Row],[Counter Number]]="","",Table2[[#This Row],[Reduction Bus NOx Emissions (tons/yr)]]*Table2[[#This Row],[Remaining Life:]])</f>
        <v/>
      </c>
      <c r="BF27" s="189" t="str">
        <f>IF(Table2[[#This Row],[Counter Number]]="","",IF(Table2[[#This Row],[Lifetime NOx Reduction (tons)]]=0,"NA",Table2[[#This Row],[Upgrade Cost Per Unit]]/Table2[[#This Row],[Lifetime NOx Reduction (tons)]]))</f>
        <v/>
      </c>
      <c r="BG27" s="190" t="str">
        <f>IF(Table2[[#This Row],[Counter Number]]="","",Table2[[#This Row],[Annual Miles Traveled:]]*VLOOKUP(Table2[[#This Row],[Engine Model Year:]],EF!$A$2:$G$27,4,FALSE))</f>
        <v/>
      </c>
      <c r="BH27" s="173" t="str">
        <f>IF(Table2[[#This Row],[Counter Number]]="","",Table2[[#This Row],[Annual Miles Traveled:]]*IF(Table2[[#This Row],[New Engine Fuel Type:]]="ULSD",VLOOKUP(Table2[[#This Row],[New Engine Model Year:]],EFTable[],4,FALSE),VLOOKUP(Table2[[#This Row],[New Engine Fuel Type:]],EFTable[],4,FALSE)))</f>
        <v/>
      </c>
      <c r="BI27" s="191" t="str">
        <f>IF(Table2[[#This Row],[Counter Number]]="","",Table2[[#This Row],[Old Bus PM2.5 Emissions (tons/yr)]]-Table2[[#This Row],[New Bus PM2.5 Emissions (tons/yr)]])</f>
        <v/>
      </c>
      <c r="BJ27" s="192" t="str">
        <f>IF(Table2[[#This Row],[Counter Number]]="","",Table2[[#This Row],[Reduction Bus PM2.5 Emissions (tons/yr)]]/Table2[[#This Row],[Old Bus PM2.5 Emissions (tons/yr)]])</f>
        <v/>
      </c>
      <c r="BK27" s="193" t="str">
        <f>IF(Table2[[#This Row],[Counter Number]]="","",Table2[[#This Row],[Reduction Bus PM2.5 Emissions (tons/yr)]]*Table2[[#This Row],[Remaining Life:]])</f>
        <v/>
      </c>
      <c r="BL27" s="194" t="str">
        <f>IF(Table2[[#This Row],[Counter Number]]="","",IF(Table2[[#This Row],[Lifetime PM2.5 Reduction (tons)]]=0,"NA",Table2[[#This Row],[Upgrade Cost Per Unit]]/Table2[[#This Row],[Lifetime PM2.5 Reduction (tons)]]))</f>
        <v/>
      </c>
      <c r="BM27" s="179" t="str">
        <f>IF(Table2[[#This Row],[Counter Number]]="","",Table2[[#This Row],[Annual Miles Traveled:]]*VLOOKUP(Table2[[#This Row],[Engine Model Year:]],EF!$A$2:$G$40,5,FALSE))</f>
        <v/>
      </c>
      <c r="BN27" s="173" t="str">
        <f>IF(Table2[[#This Row],[Counter Number]]="","",Table2[[#This Row],[Annual Miles Traveled:]]*IF(Table2[[#This Row],[New Engine Fuel Type:]]="ULSD",VLOOKUP(Table2[[#This Row],[New Engine Model Year:]],EFTable[],5,FALSE),VLOOKUP(Table2[[#This Row],[New Engine Fuel Type:]],EFTable[],5,FALSE)))</f>
        <v/>
      </c>
      <c r="BO27" s="190" t="str">
        <f>IF(Table2[[#This Row],[Counter Number]]="","",Table2[[#This Row],[Old Bus HC Emissions (tons/yr)]]-Table2[[#This Row],[New Bus HC Emissions (tons/yr)]])</f>
        <v/>
      </c>
      <c r="BP27" s="188" t="str">
        <f>IF(Table2[[#This Row],[Counter Number]]="","",Table2[[#This Row],[Reduction Bus HC Emissions (tons/yr)]]/Table2[[#This Row],[Old Bus HC Emissions (tons/yr)]])</f>
        <v/>
      </c>
      <c r="BQ27" s="193" t="str">
        <f>IF(Table2[[#This Row],[Counter Number]]="","",Table2[[#This Row],[Reduction Bus HC Emissions (tons/yr)]]*Table2[[#This Row],[Remaining Life:]])</f>
        <v/>
      </c>
      <c r="BR27" s="194" t="str">
        <f>IF(Table2[[#This Row],[Counter Number]]="","",IF(Table2[[#This Row],[Lifetime HC Reduction (tons)]]=0,"NA",Table2[[#This Row],[Upgrade Cost Per Unit]]/Table2[[#This Row],[Lifetime HC Reduction (tons)]]))</f>
        <v/>
      </c>
      <c r="BS27" s="191" t="str">
        <f>IF(Table2[[#This Row],[Counter Number]]="","",Table2[[#This Row],[Annual Miles Traveled:]]*VLOOKUP(Table2[[#This Row],[Engine Model Year:]],EF!$A$2:$G$27,6,FALSE))</f>
        <v/>
      </c>
      <c r="BT27" s="173" t="str">
        <f>IF(Table2[[#This Row],[Counter Number]]="","",Table2[[#This Row],[Annual Miles Traveled:]]*IF(Table2[[#This Row],[New Engine Fuel Type:]]="ULSD",VLOOKUP(Table2[[#This Row],[New Engine Model Year:]],EFTable[],6,FALSE),VLOOKUP(Table2[[#This Row],[New Engine Fuel Type:]],EFTable[],6,FALSE)))</f>
        <v/>
      </c>
      <c r="BU27" s="190" t="str">
        <f>IF(Table2[[#This Row],[Counter Number]]="","",Table2[[#This Row],[Old Bus CO Emissions (tons/yr)]]-Table2[[#This Row],[New Bus CO Emissions (tons/yr)]])</f>
        <v/>
      </c>
      <c r="BV27" s="188" t="str">
        <f>IF(Table2[[#This Row],[Counter Number]]="","",Table2[[#This Row],[Reduction Bus CO Emissions (tons/yr)]]/Table2[[#This Row],[Old Bus CO Emissions (tons/yr)]])</f>
        <v/>
      </c>
      <c r="BW27" s="193" t="str">
        <f>IF(Table2[[#This Row],[Counter Number]]="","",Table2[[#This Row],[Reduction Bus CO Emissions (tons/yr)]]*Table2[[#This Row],[Remaining Life:]])</f>
        <v/>
      </c>
      <c r="BX27" s="194" t="str">
        <f>IF(Table2[[#This Row],[Counter Number]]="","",IF(Table2[[#This Row],[Lifetime CO Reduction (tons)]]=0,"NA",Table2[[#This Row],[Upgrade Cost Per Unit]]/Table2[[#This Row],[Lifetime CO Reduction (tons)]]))</f>
        <v/>
      </c>
      <c r="BY27" s="180" t="str">
        <f>IF(Table2[[#This Row],[Counter Number]]="","",Table2[[#This Row],[Old ULSD Used (gal):]]*VLOOKUP(Table2[[#This Row],[Engine Model Year:]],EF!$A$2:$G$27,7,FALSE))</f>
        <v/>
      </c>
      <c r="BZ2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7" s="195" t="str">
        <f>IF(Table2[[#This Row],[Counter Number]]="","",Table2[[#This Row],[Old Bus CO2 Emissions (tons/yr)]]-Table2[[#This Row],[New Bus CO2 Emissions (tons/yr)]])</f>
        <v/>
      </c>
      <c r="CB27" s="188" t="str">
        <f>IF(Table2[[#This Row],[Counter Number]]="","",Table2[[#This Row],[Reduction Bus CO2 Emissions (tons/yr)]]/Table2[[#This Row],[Old Bus CO2 Emissions (tons/yr)]])</f>
        <v/>
      </c>
      <c r="CC27" s="195" t="str">
        <f>IF(Table2[[#This Row],[Counter Number]]="","",Table2[[#This Row],[Reduction Bus CO2 Emissions (tons/yr)]]*Table2[[#This Row],[Remaining Life:]])</f>
        <v/>
      </c>
      <c r="CD27" s="194" t="str">
        <f>IF(Table2[[#This Row],[Counter Number]]="","",IF(Table2[[#This Row],[Lifetime CO2 Reduction (tons)]]=0,"NA",Table2[[#This Row],[Upgrade Cost Per Unit]]/Table2[[#This Row],[Lifetime CO2 Reduction (tons)]]))</f>
        <v/>
      </c>
      <c r="CE27" s="182" t="str">
        <f>IF(Table2[[#This Row],[Counter Number]]="","",IF(Table2[[#This Row],[New ULSD Used (gal):]]="",Table2[[#This Row],[Old ULSD Used (gal):]],Table2[[#This Row],[Old ULSD Used (gal):]]-Table2[[#This Row],[New ULSD Used (gal):]]))</f>
        <v/>
      </c>
      <c r="CF27" s="196" t="str">
        <f>IF(Table2[[#This Row],[Counter Number]]="","",Table2[[#This Row],[Diesel Fuel Reduction (gal/yr)]]/Table2[[#This Row],[Old ULSD Used (gal):]])</f>
        <v/>
      </c>
      <c r="CG27" s="197" t="str">
        <f>IF(Table2[[#This Row],[Counter Number]]="","",Table2[[#This Row],[Diesel Fuel Reduction (gal/yr)]]*Table2[[#This Row],[Remaining Life:]])</f>
        <v/>
      </c>
    </row>
    <row r="28" spans="1:85" ht="15.45" customHeight="1">
      <c r="A28" s="184" t="str">
        <f>IF(A27&lt;Application!$D$24,A27+1,"")</f>
        <v/>
      </c>
      <c r="B28" s="60" t="str">
        <f>IF(Table2[[#This Row],[Counter Number]]="","",Application!$D$16)</f>
        <v/>
      </c>
      <c r="C28" s="60" t="str">
        <f>IF(Table2[[#This Row],[Counter Number]]="","",Application!$D$14)</f>
        <v/>
      </c>
      <c r="D28" s="60" t="str">
        <f>IF(Table2[[#This Row],[Counter Number]]="","",Table1[[#This Row],[Old Bus Number]])</f>
        <v/>
      </c>
      <c r="E28" s="60" t="str">
        <f>IF(Table2[[#This Row],[Counter Number]]="","",Application!$D$15)</f>
        <v/>
      </c>
      <c r="F28" s="60" t="str">
        <f>IF(Table2[[#This Row],[Counter Number]]="","","On Highway")</f>
        <v/>
      </c>
      <c r="G28" s="60" t="str">
        <f>IF(Table2[[#This Row],[Counter Number]]="","",I28)</f>
        <v/>
      </c>
      <c r="H28" s="60" t="str">
        <f>IF(Table2[[#This Row],[Counter Number]]="","","Georgia")</f>
        <v/>
      </c>
      <c r="I28" s="60" t="str">
        <f>IF(Table2[[#This Row],[Counter Number]]="","",Application!$D$16)</f>
        <v/>
      </c>
      <c r="J28" s="60" t="str">
        <f>IF(Table2[[#This Row],[Counter Number]]="","",Application!$D$21)</f>
        <v/>
      </c>
      <c r="K28" s="60" t="str">
        <f>IF(Table2[[#This Row],[Counter Number]]="","",Application!$J$21)</f>
        <v/>
      </c>
      <c r="L28" s="60" t="str">
        <f>IF(Table2[[#This Row],[Counter Number]]="","","School Bus")</f>
        <v/>
      </c>
      <c r="M28" s="60" t="str">
        <f>IF(Table2[[#This Row],[Counter Number]]="","","School Bus")</f>
        <v/>
      </c>
      <c r="N28" s="60" t="str">
        <f>IF(Table2[[#This Row],[Counter Number]]="","",1)</f>
        <v/>
      </c>
      <c r="O28" s="60" t="str">
        <f>IF(Table2[[#This Row],[Counter Number]]="","",Table1[[#This Row],[Vehicle Identification Number(s):]])</f>
        <v/>
      </c>
      <c r="P28" s="60" t="str">
        <f>IF(Table2[[#This Row],[Counter Number]]="","",Table1[[#This Row],[Old Bus Manufacturer:]])</f>
        <v/>
      </c>
      <c r="Q28" s="60" t="str">
        <f>IF(Table2[[#This Row],[Counter Number]]="","",Table1[[#This Row],[Vehicle Model:]])</f>
        <v/>
      </c>
      <c r="R28" s="165" t="str">
        <f>IF(Table2[[#This Row],[Counter Number]]="","",Table1[[#This Row],[Vehicle Model Year:]])</f>
        <v/>
      </c>
      <c r="S28" s="60" t="str">
        <f>IF(Table2[[#This Row],[Counter Number]]="","",Table1[[#This Row],[Engine Serial Number(s):]])</f>
        <v/>
      </c>
      <c r="T28" s="60" t="str">
        <f>IF(Table2[[#This Row],[Counter Number]]="","",Table1[[#This Row],[Engine Make:]])</f>
        <v/>
      </c>
      <c r="U28" s="60" t="str">
        <f>IF(Table2[[#This Row],[Counter Number]]="","",Table1[[#This Row],[Engine Model:]])</f>
        <v/>
      </c>
      <c r="V28" s="165" t="str">
        <f>IF(Table2[[#This Row],[Counter Number]]="","",Table1[[#This Row],[Engine Model Year:]])</f>
        <v/>
      </c>
      <c r="W28" s="60" t="str">
        <f>IF(Table2[[#This Row],[Counter Number]]="","","NA")</f>
        <v/>
      </c>
      <c r="X28" s="165" t="str">
        <f>IF(Table2[[#This Row],[Counter Number]]="","",Table1[[#This Row],[Engine Horsepower (HP):]])</f>
        <v/>
      </c>
      <c r="Y28" s="165" t="str">
        <f>IF(Table2[[#This Row],[Counter Number]]="","",Table1[[#This Row],[Engine Cylinder Displacement (L):]]&amp;" L")</f>
        <v/>
      </c>
      <c r="Z28" s="165" t="str">
        <f>IF(Table2[[#This Row],[Counter Number]]="","",Table1[[#This Row],[Engine Number of Cylinders:]])</f>
        <v/>
      </c>
      <c r="AA28" s="166" t="str">
        <f>IF(Table2[[#This Row],[Counter Number]]="","",Table1[[#This Row],[Engine Family Name:]])</f>
        <v/>
      </c>
      <c r="AB28" s="60" t="str">
        <f>IF(Table2[[#This Row],[Counter Number]]="","","ULSD")</f>
        <v/>
      </c>
      <c r="AC28" s="167" t="str">
        <f>IF(Table2[[#This Row],[Counter Number]]="","",Table2[[#This Row],[Annual Miles Traveled:]]/Table1[[#This Row],[Old Fuel (mpg)]])</f>
        <v/>
      </c>
      <c r="AD28" s="60" t="str">
        <f>IF(Table2[[#This Row],[Counter Number]]="","","NA")</f>
        <v/>
      </c>
      <c r="AE28" s="168" t="str">
        <f>IF(Table2[[#This Row],[Counter Number]]="","",Table1[[#This Row],[Annual Miles Traveled]])</f>
        <v/>
      </c>
      <c r="AF28" s="169" t="str">
        <f>IF(Table2[[#This Row],[Counter Number]]="","",Table1[[#This Row],[Annual Idling Hours:]])</f>
        <v/>
      </c>
      <c r="AG28" s="60" t="str">
        <f>IF(Table2[[#This Row],[Counter Number]]="","","NA")</f>
        <v/>
      </c>
      <c r="AH28" s="165" t="str">
        <f>IF(Table2[[#This Row],[Counter Number]]="","",IF(Application!$J$25="Set Policy",Table1[[#This Row],[Remaining Life (years)         Set Policy]],Table1[[#This Row],[Remaining Life (years)               Case-by-Case]]))</f>
        <v/>
      </c>
      <c r="AI28" s="165" t="str">
        <f>IF(Table2[[#This Row],[Counter Number]]="","",IF(Application!$J$25="Case-by-Case","NA",Table2[[#This Row],[Fiscal Year of EPA Funds Used:]]+Table2[[#This Row],[Remaining Life:]]))</f>
        <v/>
      </c>
      <c r="AJ28" s="165"/>
      <c r="AK28" s="170" t="str">
        <f>IF(Table2[[#This Row],[Counter Number]]="","",Application!$D$14+1)</f>
        <v/>
      </c>
      <c r="AL28" s="60" t="str">
        <f>IF(Table2[[#This Row],[Counter Number]]="","","Vehicle Replacement")</f>
        <v/>
      </c>
      <c r="AM2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8" s="171" t="str">
        <f>IF(Table2[[#This Row],[Counter Number]]="","",Table1[[#This Row],[Cost of New Bus:]])</f>
        <v/>
      </c>
      <c r="AO28" s="60" t="str">
        <f>IF(Table2[[#This Row],[Counter Number]]="","","NA")</f>
        <v/>
      </c>
      <c r="AP28" s="165" t="str">
        <f>IF(Table2[[#This Row],[Counter Number]]="","",Table1[[#This Row],[New Engine Model Year:]])</f>
        <v/>
      </c>
      <c r="AQ28" s="60" t="str">
        <f>IF(Table2[[#This Row],[Counter Number]]="","","NA")</f>
        <v/>
      </c>
      <c r="AR28" s="165" t="str">
        <f>IF(Table2[[#This Row],[Counter Number]]="","",Table1[[#This Row],[New Engine Horsepower (HP):]])</f>
        <v/>
      </c>
      <c r="AS28" s="60" t="str">
        <f>IF(Table2[[#This Row],[Counter Number]]="","","NA")</f>
        <v/>
      </c>
      <c r="AT28" s="165" t="str">
        <f>IF(Table2[[#This Row],[Counter Number]]="","",Table1[[#This Row],[New Engine Cylinder Displacement (L):]]&amp;" L")</f>
        <v/>
      </c>
      <c r="AU28" s="114" t="str">
        <f>IF(Table2[[#This Row],[Counter Number]]="","",Table1[[#This Row],[New Engine Number of Cylinders:]])</f>
        <v/>
      </c>
      <c r="AV28" s="60" t="str">
        <f>IF(Table2[[#This Row],[Counter Number]]="","",Table1[[#This Row],[New Engine Family Name:]])</f>
        <v/>
      </c>
      <c r="AW2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8" s="60" t="str">
        <f>IF(Table2[[#This Row],[Counter Number]]="","","NA")</f>
        <v/>
      </c>
      <c r="AY28" s="172" t="str">
        <f>IF(Table2[[#This Row],[Counter Number]]="","",IF(Table2[[#This Row],[New Engine Fuel Type:]]="ULSD",Table1[[#This Row],[Annual Miles Traveled]]/Table1[[#This Row],[New Fuel (mpg) if Diesel]],""))</f>
        <v/>
      </c>
      <c r="AZ28" s="60"/>
      <c r="BA28" s="173" t="str">
        <f>IF(Table2[[#This Row],[Counter Number]]="","",Table2[[#This Row],[Annual Miles Traveled:]]*VLOOKUP(Table2[[#This Row],[Engine Model Year:]],EFTable[],3,FALSE))</f>
        <v/>
      </c>
      <c r="BB28" s="173" t="str">
        <f>IF(Table2[[#This Row],[Counter Number]]="","",Table2[[#This Row],[Annual Miles Traveled:]]*IF(Table2[[#This Row],[New Engine Fuel Type:]]="ULSD",VLOOKUP(Table2[[#This Row],[New Engine Model Year:]],EFTable[],3,FALSE),VLOOKUP(Table2[[#This Row],[New Engine Fuel Type:]],EFTable[],3,FALSE)))</f>
        <v/>
      </c>
      <c r="BC28" s="187" t="str">
        <f>IF(Table2[[#This Row],[Counter Number]]="","",Table2[[#This Row],[Old Bus NOx Emissions (tons/yr)]]-Table2[[#This Row],[New Bus NOx Emissions (tons/yr)]])</f>
        <v/>
      </c>
      <c r="BD28" s="188" t="str">
        <f>IF(Table2[[#This Row],[Counter Number]]="","",Table2[[#This Row],[Reduction Bus NOx Emissions (tons/yr)]]/Table2[[#This Row],[Old Bus NOx Emissions (tons/yr)]])</f>
        <v/>
      </c>
      <c r="BE28" s="175" t="str">
        <f>IF(Table2[[#This Row],[Counter Number]]="","",Table2[[#This Row],[Reduction Bus NOx Emissions (tons/yr)]]*Table2[[#This Row],[Remaining Life:]])</f>
        <v/>
      </c>
      <c r="BF28" s="189" t="str">
        <f>IF(Table2[[#This Row],[Counter Number]]="","",IF(Table2[[#This Row],[Lifetime NOx Reduction (tons)]]=0,"NA",Table2[[#This Row],[Upgrade Cost Per Unit]]/Table2[[#This Row],[Lifetime NOx Reduction (tons)]]))</f>
        <v/>
      </c>
      <c r="BG28" s="190" t="str">
        <f>IF(Table2[[#This Row],[Counter Number]]="","",Table2[[#This Row],[Annual Miles Traveled:]]*VLOOKUP(Table2[[#This Row],[Engine Model Year:]],EF!$A$2:$G$27,4,FALSE))</f>
        <v/>
      </c>
      <c r="BH28" s="173" t="str">
        <f>IF(Table2[[#This Row],[Counter Number]]="","",Table2[[#This Row],[Annual Miles Traveled:]]*IF(Table2[[#This Row],[New Engine Fuel Type:]]="ULSD",VLOOKUP(Table2[[#This Row],[New Engine Model Year:]],EFTable[],4,FALSE),VLOOKUP(Table2[[#This Row],[New Engine Fuel Type:]],EFTable[],4,FALSE)))</f>
        <v/>
      </c>
      <c r="BI28" s="191" t="str">
        <f>IF(Table2[[#This Row],[Counter Number]]="","",Table2[[#This Row],[Old Bus PM2.5 Emissions (tons/yr)]]-Table2[[#This Row],[New Bus PM2.5 Emissions (tons/yr)]])</f>
        <v/>
      </c>
      <c r="BJ28" s="192" t="str">
        <f>IF(Table2[[#This Row],[Counter Number]]="","",Table2[[#This Row],[Reduction Bus PM2.5 Emissions (tons/yr)]]/Table2[[#This Row],[Old Bus PM2.5 Emissions (tons/yr)]])</f>
        <v/>
      </c>
      <c r="BK28" s="193" t="str">
        <f>IF(Table2[[#This Row],[Counter Number]]="","",Table2[[#This Row],[Reduction Bus PM2.5 Emissions (tons/yr)]]*Table2[[#This Row],[Remaining Life:]])</f>
        <v/>
      </c>
      <c r="BL28" s="194" t="str">
        <f>IF(Table2[[#This Row],[Counter Number]]="","",IF(Table2[[#This Row],[Lifetime PM2.5 Reduction (tons)]]=0,"NA",Table2[[#This Row],[Upgrade Cost Per Unit]]/Table2[[#This Row],[Lifetime PM2.5 Reduction (tons)]]))</f>
        <v/>
      </c>
      <c r="BM28" s="179" t="str">
        <f>IF(Table2[[#This Row],[Counter Number]]="","",Table2[[#This Row],[Annual Miles Traveled:]]*VLOOKUP(Table2[[#This Row],[Engine Model Year:]],EF!$A$2:$G$40,5,FALSE))</f>
        <v/>
      </c>
      <c r="BN28" s="173" t="str">
        <f>IF(Table2[[#This Row],[Counter Number]]="","",Table2[[#This Row],[Annual Miles Traveled:]]*IF(Table2[[#This Row],[New Engine Fuel Type:]]="ULSD",VLOOKUP(Table2[[#This Row],[New Engine Model Year:]],EFTable[],5,FALSE),VLOOKUP(Table2[[#This Row],[New Engine Fuel Type:]],EFTable[],5,FALSE)))</f>
        <v/>
      </c>
      <c r="BO28" s="190" t="str">
        <f>IF(Table2[[#This Row],[Counter Number]]="","",Table2[[#This Row],[Old Bus HC Emissions (tons/yr)]]-Table2[[#This Row],[New Bus HC Emissions (tons/yr)]])</f>
        <v/>
      </c>
      <c r="BP28" s="188" t="str">
        <f>IF(Table2[[#This Row],[Counter Number]]="","",Table2[[#This Row],[Reduction Bus HC Emissions (tons/yr)]]/Table2[[#This Row],[Old Bus HC Emissions (tons/yr)]])</f>
        <v/>
      </c>
      <c r="BQ28" s="193" t="str">
        <f>IF(Table2[[#This Row],[Counter Number]]="","",Table2[[#This Row],[Reduction Bus HC Emissions (tons/yr)]]*Table2[[#This Row],[Remaining Life:]])</f>
        <v/>
      </c>
      <c r="BR28" s="194" t="str">
        <f>IF(Table2[[#This Row],[Counter Number]]="","",IF(Table2[[#This Row],[Lifetime HC Reduction (tons)]]=0,"NA",Table2[[#This Row],[Upgrade Cost Per Unit]]/Table2[[#This Row],[Lifetime HC Reduction (tons)]]))</f>
        <v/>
      </c>
      <c r="BS28" s="191" t="str">
        <f>IF(Table2[[#This Row],[Counter Number]]="","",Table2[[#This Row],[Annual Miles Traveled:]]*VLOOKUP(Table2[[#This Row],[Engine Model Year:]],EF!$A$2:$G$27,6,FALSE))</f>
        <v/>
      </c>
      <c r="BT28" s="173" t="str">
        <f>IF(Table2[[#This Row],[Counter Number]]="","",Table2[[#This Row],[Annual Miles Traveled:]]*IF(Table2[[#This Row],[New Engine Fuel Type:]]="ULSD",VLOOKUP(Table2[[#This Row],[New Engine Model Year:]],EFTable[],6,FALSE),VLOOKUP(Table2[[#This Row],[New Engine Fuel Type:]],EFTable[],6,FALSE)))</f>
        <v/>
      </c>
      <c r="BU28" s="190" t="str">
        <f>IF(Table2[[#This Row],[Counter Number]]="","",Table2[[#This Row],[Old Bus CO Emissions (tons/yr)]]-Table2[[#This Row],[New Bus CO Emissions (tons/yr)]])</f>
        <v/>
      </c>
      <c r="BV28" s="188" t="str">
        <f>IF(Table2[[#This Row],[Counter Number]]="","",Table2[[#This Row],[Reduction Bus CO Emissions (tons/yr)]]/Table2[[#This Row],[Old Bus CO Emissions (tons/yr)]])</f>
        <v/>
      </c>
      <c r="BW28" s="193" t="str">
        <f>IF(Table2[[#This Row],[Counter Number]]="","",Table2[[#This Row],[Reduction Bus CO Emissions (tons/yr)]]*Table2[[#This Row],[Remaining Life:]])</f>
        <v/>
      </c>
      <c r="BX28" s="194" t="str">
        <f>IF(Table2[[#This Row],[Counter Number]]="","",IF(Table2[[#This Row],[Lifetime CO Reduction (tons)]]=0,"NA",Table2[[#This Row],[Upgrade Cost Per Unit]]/Table2[[#This Row],[Lifetime CO Reduction (tons)]]))</f>
        <v/>
      </c>
      <c r="BY28" s="180" t="str">
        <f>IF(Table2[[#This Row],[Counter Number]]="","",Table2[[#This Row],[Old ULSD Used (gal):]]*VLOOKUP(Table2[[#This Row],[Engine Model Year:]],EF!$A$2:$G$27,7,FALSE))</f>
        <v/>
      </c>
      <c r="BZ2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8" s="195" t="str">
        <f>IF(Table2[[#This Row],[Counter Number]]="","",Table2[[#This Row],[Old Bus CO2 Emissions (tons/yr)]]-Table2[[#This Row],[New Bus CO2 Emissions (tons/yr)]])</f>
        <v/>
      </c>
      <c r="CB28" s="188" t="str">
        <f>IF(Table2[[#This Row],[Counter Number]]="","",Table2[[#This Row],[Reduction Bus CO2 Emissions (tons/yr)]]/Table2[[#This Row],[Old Bus CO2 Emissions (tons/yr)]])</f>
        <v/>
      </c>
      <c r="CC28" s="195" t="str">
        <f>IF(Table2[[#This Row],[Counter Number]]="","",Table2[[#This Row],[Reduction Bus CO2 Emissions (tons/yr)]]*Table2[[#This Row],[Remaining Life:]])</f>
        <v/>
      </c>
      <c r="CD28" s="194" t="str">
        <f>IF(Table2[[#This Row],[Counter Number]]="","",IF(Table2[[#This Row],[Lifetime CO2 Reduction (tons)]]=0,"NA",Table2[[#This Row],[Upgrade Cost Per Unit]]/Table2[[#This Row],[Lifetime CO2 Reduction (tons)]]))</f>
        <v/>
      </c>
      <c r="CE28" s="182" t="str">
        <f>IF(Table2[[#This Row],[Counter Number]]="","",IF(Table2[[#This Row],[New ULSD Used (gal):]]="",Table2[[#This Row],[Old ULSD Used (gal):]],Table2[[#This Row],[Old ULSD Used (gal):]]-Table2[[#This Row],[New ULSD Used (gal):]]))</f>
        <v/>
      </c>
      <c r="CF28" s="196" t="str">
        <f>IF(Table2[[#This Row],[Counter Number]]="","",Table2[[#This Row],[Diesel Fuel Reduction (gal/yr)]]/Table2[[#This Row],[Old ULSD Used (gal):]])</f>
        <v/>
      </c>
      <c r="CG28" s="197" t="str">
        <f>IF(Table2[[#This Row],[Counter Number]]="","",Table2[[#This Row],[Diesel Fuel Reduction (gal/yr)]]*Table2[[#This Row],[Remaining Life:]])</f>
        <v/>
      </c>
    </row>
    <row r="29" spans="1:85" ht="15.45" customHeight="1">
      <c r="A29" s="184" t="str">
        <f>IF(A28&lt;Application!$D$24,A28+1,"")</f>
        <v/>
      </c>
      <c r="B29" s="60" t="str">
        <f>IF(Table2[[#This Row],[Counter Number]]="","",Application!$D$16)</f>
        <v/>
      </c>
      <c r="C29" s="60" t="str">
        <f>IF(Table2[[#This Row],[Counter Number]]="","",Application!$D$14)</f>
        <v/>
      </c>
      <c r="D29" s="60" t="str">
        <f>IF(Table2[[#This Row],[Counter Number]]="","",Table1[[#This Row],[Old Bus Number]])</f>
        <v/>
      </c>
      <c r="E29" s="60" t="str">
        <f>IF(Table2[[#This Row],[Counter Number]]="","",Application!$D$15)</f>
        <v/>
      </c>
      <c r="F29" s="60" t="str">
        <f>IF(Table2[[#This Row],[Counter Number]]="","","On Highway")</f>
        <v/>
      </c>
      <c r="G29" s="60" t="str">
        <f>IF(Table2[[#This Row],[Counter Number]]="","",I29)</f>
        <v/>
      </c>
      <c r="H29" s="60" t="str">
        <f>IF(Table2[[#This Row],[Counter Number]]="","","Georgia")</f>
        <v/>
      </c>
      <c r="I29" s="60" t="str">
        <f>IF(Table2[[#This Row],[Counter Number]]="","",Application!$D$16)</f>
        <v/>
      </c>
      <c r="J29" s="60" t="str">
        <f>IF(Table2[[#This Row],[Counter Number]]="","",Application!$D$21)</f>
        <v/>
      </c>
      <c r="K29" s="60" t="str">
        <f>IF(Table2[[#This Row],[Counter Number]]="","",Application!$J$21)</f>
        <v/>
      </c>
      <c r="L29" s="60" t="str">
        <f>IF(Table2[[#This Row],[Counter Number]]="","","School Bus")</f>
        <v/>
      </c>
      <c r="M29" s="60" t="str">
        <f>IF(Table2[[#This Row],[Counter Number]]="","","School Bus")</f>
        <v/>
      </c>
      <c r="N29" s="60" t="str">
        <f>IF(Table2[[#This Row],[Counter Number]]="","",1)</f>
        <v/>
      </c>
      <c r="O29" s="60" t="str">
        <f>IF(Table2[[#This Row],[Counter Number]]="","",Table1[[#This Row],[Vehicle Identification Number(s):]])</f>
        <v/>
      </c>
      <c r="P29" s="60" t="str">
        <f>IF(Table2[[#This Row],[Counter Number]]="","",Table1[[#This Row],[Old Bus Manufacturer:]])</f>
        <v/>
      </c>
      <c r="Q29" s="60" t="str">
        <f>IF(Table2[[#This Row],[Counter Number]]="","",Table1[[#This Row],[Vehicle Model:]])</f>
        <v/>
      </c>
      <c r="R29" s="165" t="str">
        <f>IF(Table2[[#This Row],[Counter Number]]="","",Table1[[#This Row],[Vehicle Model Year:]])</f>
        <v/>
      </c>
      <c r="S29" s="60" t="str">
        <f>IF(Table2[[#This Row],[Counter Number]]="","",Table1[[#This Row],[Engine Serial Number(s):]])</f>
        <v/>
      </c>
      <c r="T29" s="60" t="str">
        <f>IF(Table2[[#This Row],[Counter Number]]="","",Table1[[#This Row],[Engine Make:]])</f>
        <v/>
      </c>
      <c r="U29" s="60" t="str">
        <f>IF(Table2[[#This Row],[Counter Number]]="","",Table1[[#This Row],[Engine Model:]])</f>
        <v/>
      </c>
      <c r="V29" s="165" t="str">
        <f>IF(Table2[[#This Row],[Counter Number]]="","",Table1[[#This Row],[Engine Model Year:]])</f>
        <v/>
      </c>
      <c r="W29" s="60" t="str">
        <f>IF(Table2[[#This Row],[Counter Number]]="","","NA")</f>
        <v/>
      </c>
      <c r="X29" s="165" t="str">
        <f>IF(Table2[[#This Row],[Counter Number]]="","",Table1[[#This Row],[Engine Horsepower (HP):]])</f>
        <v/>
      </c>
      <c r="Y29" s="165" t="str">
        <f>IF(Table2[[#This Row],[Counter Number]]="","",Table1[[#This Row],[Engine Cylinder Displacement (L):]]&amp;" L")</f>
        <v/>
      </c>
      <c r="Z29" s="165" t="str">
        <f>IF(Table2[[#This Row],[Counter Number]]="","",Table1[[#This Row],[Engine Number of Cylinders:]])</f>
        <v/>
      </c>
      <c r="AA29" s="166" t="str">
        <f>IF(Table2[[#This Row],[Counter Number]]="","",Table1[[#This Row],[Engine Family Name:]])</f>
        <v/>
      </c>
      <c r="AB29" s="60" t="str">
        <f>IF(Table2[[#This Row],[Counter Number]]="","","ULSD")</f>
        <v/>
      </c>
      <c r="AC29" s="167" t="str">
        <f>IF(Table2[[#This Row],[Counter Number]]="","",Table2[[#This Row],[Annual Miles Traveled:]]/Table1[[#This Row],[Old Fuel (mpg)]])</f>
        <v/>
      </c>
      <c r="AD29" s="60" t="str">
        <f>IF(Table2[[#This Row],[Counter Number]]="","","NA")</f>
        <v/>
      </c>
      <c r="AE29" s="168" t="str">
        <f>IF(Table2[[#This Row],[Counter Number]]="","",Table1[[#This Row],[Annual Miles Traveled]])</f>
        <v/>
      </c>
      <c r="AF29" s="169" t="str">
        <f>IF(Table2[[#This Row],[Counter Number]]="","",Table1[[#This Row],[Annual Idling Hours:]])</f>
        <v/>
      </c>
      <c r="AG29" s="60" t="str">
        <f>IF(Table2[[#This Row],[Counter Number]]="","","NA")</f>
        <v/>
      </c>
      <c r="AH29" s="165" t="str">
        <f>IF(Table2[[#This Row],[Counter Number]]="","",IF(Application!$J$25="Set Policy",Table1[[#This Row],[Remaining Life (years)         Set Policy]],Table1[[#This Row],[Remaining Life (years)               Case-by-Case]]))</f>
        <v/>
      </c>
      <c r="AI29" s="165" t="str">
        <f>IF(Table2[[#This Row],[Counter Number]]="","",IF(Application!$J$25="Case-by-Case","NA",Table2[[#This Row],[Fiscal Year of EPA Funds Used:]]+Table2[[#This Row],[Remaining Life:]]))</f>
        <v/>
      </c>
      <c r="AJ29" s="165"/>
      <c r="AK29" s="170" t="str">
        <f>IF(Table2[[#This Row],[Counter Number]]="","",Application!$D$14+1)</f>
        <v/>
      </c>
      <c r="AL29" s="60" t="str">
        <f>IF(Table2[[#This Row],[Counter Number]]="","","Vehicle Replacement")</f>
        <v/>
      </c>
      <c r="AM2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9" s="171" t="str">
        <f>IF(Table2[[#This Row],[Counter Number]]="","",Table1[[#This Row],[Cost of New Bus:]])</f>
        <v/>
      </c>
      <c r="AO29" s="60" t="str">
        <f>IF(Table2[[#This Row],[Counter Number]]="","","NA")</f>
        <v/>
      </c>
      <c r="AP29" s="165" t="str">
        <f>IF(Table2[[#This Row],[Counter Number]]="","",Table1[[#This Row],[New Engine Model Year:]])</f>
        <v/>
      </c>
      <c r="AQ29" s="60" t="str">
        <f>IF(Table2[[#This Row],[Counter Number]]="","","NA")</f>
        <v/>
      </c>
      <c r="AR29" s="165" t="str">
        <f>IF(Table2[[#This Row],[Counter Number]]="","",Table1[[#This Row],[New Engine Horsepower (HP):]])</f>
        <v/>
      </c>
      <c r="AS29" s="60" t="str">
        <f>IF(Table2[[#This Row],[Counter Number]]="","","NA")</f>
        <v/>
      </c>
      <c r="AT29" s="165" t="str">
        <f>IF(Table2[[#This Row],[Counter Number]]="","",Table1[[#This Row],[New Engine Cylinder Displacement (L):]]&amp;" L")</f>
        <v/>
      </c>
      <c r="AU29" s="114" t="str">
        <f>IF(Table2[[#This Row],[Counter Number]]="","",Table1[[#This Row],[New Engine Number of Cylinders:]])</f>
        <v/>
      </c>
      <c r="AV29" s="60" t="str">
        <f>IF(Table2[[#This Row],[Counter Number]]="","",Table1[[#This Row],[New Engine Family Name:]])</f>
        <v/>
      </c>
      <c r="AW2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9" s="60" t="str">
        <f>IF(Table2[[#This Row],[Counter Number]]="","","NA")</f>
        <v/>
      </c>
      <c r="AY29" s="172" t="str">
        <f>IF(Table2[[#This Row],[Counter Number]]="","",IF(Table2[[#This Row],[New Engine Fuel Type:]]="ULSD",Table1[[#This Row],[Annual Miles Traveled]]/Table1[[#This Row],[New Fuel (mpg) if Diesel]],""))</f>
        <v/>
      </c>
      <c r="AZ29" s="60"/>
      <c r="BA29" s="173" t="str">
        <f>IF(Table2[[#This Row],[Counter Number]]="","",Table2[[#This Row],[Annual Miles Traveled:]]*VLOOKUP(Table2[[#This Row],[Engine Model Year:]],EFTable[],3,FALSE))</f>
        <v/>
      </c>
      <c r="BB29" s="173" t="str">
        <f>IF(Table2[[#This Row],[Counter Number]]="","",Table2[[#This Row],[Annual Miles Traveled:]]*IF(Table2[[#This Row],[New Engine Fuel Type:]]="ULSD",VLOOKUP(Table2[[#This Row],[New Engine Model Year:]],EFTable[],3,FALSE),VLOOKUP(Table2[[#This Row],[New Engine Fuel Type:]],EFTable[],3,FALSE)))</f>
        <v/>
      </c>
      <c r="BC29" s="187" t="str">
        <f>IF(Table2[[#This Row],[Counter Number]]="","",Table2[[#This Row],[Old Bus NOx Emissions (tons/yr)]]-Table2[[#This Row],[New Bus NOx Emissions (tons/yr)]])</f>
        <v/>
      </c>
      <c r="BD29" s="188" t="str">
        <f>IF(Table2[[#This Row],[Counter Number]]="","",Table2[[#This Row],[Reduction Bus NOx Emissions (tons/yr)]]/Table2[[#This Row],[Old Bus NOx Emissions (tons/yr)]])</f>
        <v/>
      </c>
      <c r="BE29" s="175" t="str">
        <f>IF(Table2[[#This Row],[Counter Number]]="","",Table2[[#This Row],[Reduction Bus NOx Emissions (tons/yr)]]*Table2[[#This Row],[Remaining Life:]])</f>
        <v/>
      </c>
      <c r="BF29" s="189" t="str">
        <f>IF(Table2[[#This Row],[Counter Number]]="","",IF(Table2[[#This Row],[Lifetime NOx Reduction (tons)]]=0,"NA",Table2[[#This Row],[Upgrade Cost Per Unit]]/Table2[[#This Row],[Lifetime NOx Reduction (tons)]]))</f>
        <v/>
      </c>
      <c r="BG29" s="190" t="str">
        <f>IF(Table2[[#This Row],[Counter Number]]="","",Table2[[#This Row],[Annual Miles Traveled:]]*VLOOKUP(Table2[[#This Row],[Engine Model Year:]],EF!$A$2:$G$27,4,FALSE))</f>
        <v/>
      </c>
      <c r="BH29" s="173" t="str">
        <f>IF(Table2[[#This Row],[Counter Number]]="","",Table2[[#This Row],[Annual Miles Traveled:]]*IF(Table2[[#This Row],[New Engine Fuel Type:]]="ULSD",VLOOKUP(Table2[[#This Row],[New Engine Model Year:]],EFTable[],4,FALSE),VLOOKUP(Table2[[#This Row],[New Engine Fuel Type:]],EFTable[],4,FALSE)))</f>
        <v/>
      </c>
      <c r="BI29" s="191" t="str">
        <f>IF(Table2[[#This Row],[Counter Number]]="","",Table2[[#This Row],[Old Bus PM2.5 Emissions (tons/yr)]]-Table2[[#This Row],[New Bus PM2.5 Emissions (tons/yr)]])</f>
        <v/>
      </c>
      <c r="BJ29" s="192" t="str">
        <f>IF(Table2[[#This Row],[Counter Number]]="","",Table2[[#This Row],[Reduction Bus PM2.5 Emissions (tons/yr)]]/Table2[[#This Row],[Old Bus PM2.5 Emissions (tons/yr)]])</f>
        <v/>
      </c>
      <c r="BK29" s="193" t="str">
        <f>IF(Table2[[#This Row],[Counter Number]]="","",Table2[[#This Row],[Reduction Bus PM2.5 Emissions (tons/yr)]]*Table2[[#This Row],[Remaining Life:]])</f>
        <v/>
      </c>
      <c r="BL29" s="194" t="str">
        <f>IF(Table2[[#This Row],[Counter Number]]="","",IF(Table2[[#This Row],[Lifetime PM2.5 Reduction (tons)]]=0,"NA",Table2[[#This Row],[Upgrade Cost Per Unit]]/Table2[[#This Row],[Lifetime PM2.5 Reduction (tons)]]))</f>
        <v/>
      </c>
      <c r="BM29" s="179" t="str">
        <f>IF(Table2[[#This Row],[Counter Number]]="","",Table2[[#This Row],[Annual Miles Traveled:]]*VLOOKUP(Table2[[#This Row],[Engine Model Year:]],EF!$A$2:$G$40,5,FALSE))</f>
        <v/>
      </c>
      <c r="BN29" s="173" t="str">
        <f>IF(Table2[[#This Row],[Counter Number]]="","",Table2[[#This Row],[Annual Miles Traveled:]]*IF(Table2[[#This Row],[New Engine Fuel Type:]]="ULSD",VLOOKUP(Table2[[#This Row],[New Engine Model Year:]],EFTable[],5,FALSE),VLOOKUP(Table2[[#This Row],[New Engine Fuel Type:]],EFTable[],5,FALSE)))</f>
        <v/>
      </c>
      <c r="BO29" s="190" t="str">
        <f>IF(Table2[[#This Row],[Counter Number]]="","",Table2[[#This Row],[Old Bus HC Emissions (tons/yr)]]-Table2[[#This Row],[New Bus HC Emissions (tons/yr)]])</f>
        <v/>
      </c>
      <c r="BP29" s="188" t="str">
        <f>IF(Table2[[#This Row],[Counter Number]]="","",Table2[[#This Row],[Reduction Bus HC Emissions (tons/yr)]]/Table2[[#This Row],[Old Bus HC Emissions (tons/yr)]])</f>
        <v/>
      </c>
      <c r="BQ29" s="193" t="str">
        <f>IF(Table2[[#This Row],[Counter Number]]="","",Table2[[#This Row],[Reduction Bus HC Emissions (tons/yr)]]*Table2[[#This Row],[Remaining Life:]])</f>
        <v/>
      </c>
      <c r="BR29" s="194" t="str">
        <f>IF(Table2[[#This Row],[Counter Number]]="","",IF(Table2[[#This Row],[Lifetime HC Reduction (tons)]]=0,"NA",Table2[[#This Row],[Upgrade Cost Per Unit]]/Table2[[#This Row],[Lifetime HC Reduction (tons)]]))</f>
        <v/>
      </c>
      <c r="BS29" s="191" t="str">
        <f>IF(Table2[[#This Row],[Counter Number]]="","",Table2[[#This Row],[Annual Miles Traveled:]]*VLOOKUP(Table2[[#This Row],[Engine Model Year:]],EF!$A$2:$G$27,6,FALSE))</f>
        <v/>
      </c>
      <c r="BT29" s="173" t="str">
        <f>IF(Table2[[#This Row],[Counter Number]]="","",Table2[[#This Row],[Annual Miles Traveled:]]*IF(Table2[[#This Row],[New Engine Fuel Type:]]="ULSD",VLOOKUP(Table2[[#This Row],[New Engine Model Year:]],EFTable[],6,FALSE),VLOOKUP(Table2[[#This Row],[New Engine Fuel Type:]],EFTable[],6,FALSE)))</f>
        <v/>
      </c>
      <c r="BU29" s="190" t="str">
        <f>IF(Table2[[#This Row],[Counter Number]]="","",Table2[[#This Row],[Old Bus CO Emissions (tons/yr)]]-Table2[[#This Row],[New Bus CO Emissions (tons/yr)]])</f>
        <v/>
      </c>
      <c r="BV29" s="188" t="str">
        <f>IF(Table2[[#This Row],[Counter Number]]="","",Table2[[#This Row],[Reduction Bus CO Emissions (tons/yr)]]/Table2[[#This Row],[Old Bus CO Emissions (tons/yr)]])</f>
        <v/>
      </c>
      <c r="BW29" s="193" t="str">
        <f>IF(Table2[[#This Row],[Counter Number]]="","",Table2[[#This Row],[Reduction Bus CO Emissions (tons/yr)]]*Table2[[#This Row],[Remaining Life:]])</f>
        <v/>
      </c>
      <c r="BX29" s="194" t="str">
        <f>IF(Table2[[#This Row],[Counter Number]]="","",IF(Table2[[#This Row],[Lifetime CO Reduction (tons)]]=0,"NA",Table2[[#This Row],[Upgrade Cost Per Unit]]/Table2[[#This Row],[Lifetime CO Reduction (tons)]]))</f>
        <v/>
      </c>
      <c r="BY29" s="180" t="str">
        <f>IF(Table2[[#This Row],[Counter Number]]="","",Table2[[#This Row],[Old ULSD Used (gal):]]*VLOOKUP(Table2[[#This Row],[Engine Model Year:]],EF!$A$2:$G$27,7,FALSE))</f>
        <v/>
      </c>
      <c r="BZ2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9" s="195" t="str">
        <f>IF(Table2[[#This Row],[Counter Number]]="","",Table2[[#This Row],[Old Bus CO2 Emissions (tons/yr)]]-Table2[[#This Row],[New Bus CO2 Emissions (tons/yr)]])</f>
        <v/>
      </c>
      <c r="CB29" s="188" t="str">
        <f>IF(Table2[[#This Row],[Counter Number]]="","",Table2[[#This Row],[Reduction Bus CO2 Emissions (tons/yr)]]/Table2[[#This Row],[Old Bus CO2 Emissions (tons/yr)]])</f>
        <v/>
      </c>
      <c r="CC29" s="195" t="str">
        <f>IF(Table2[[#This Row],[Counter Number]]="","",Table2[[#This Row],[Reduction Bus CO2 Emissions (tons/yr)]]*Table2[[#This Row],[Remaining Life:]])</f>
        <v/>
      </c>
      <c r="CD29" s="194" t="str">
        <f>IF(Table2[[#This Row],[Counter Number]]="","",IF(Table2[[#This Row],[Lifetime CO2 Reduction (tons)]]=0,"NA",Table2[[#This Row],[Upgrade Cost Per Unit]]/Table2[[#This Row],[Lifetime CO2 Reduction (tons)]]))</f>
        <v/>
      </c>
      <c r="CE29" s="182" t="str">
        <f>IF(Table2[[#This Row],[Counter Number]]="","",IF(Table2[[#This Row],[New ULSD Used (gal):]]="",Table2[[#This Row],[Old ULSD Used (gal):]],Table2[[#This Row],[Old ULSD Used (gal):]]-Table2[[#This Row],[New ULSD Used (gal):]]))</f>
        <v/>
      </c>
      <c r="CF29" s="196" t="str">
        <f>IF(Table2[[#This Row],[Counter Number]]="","",Table2[[#This Row],[Diesel Fuel Reduction (gal/yr)]]/Table2[[#This Row],[Old ULSD Used (gal):]])</f>
        <v/>
      </c>
      <c r="CG29" s="197" t="str">
        <f>IF(Table2[[#This Row],[Counter Number]]="","",Table2[[#This Row],[Diesel Fuel Reduction (gal/yr)]]*Table2[[#This Row],[Remaining Life:]])</f>
        <v/>
      </c>
    </row>
    <row r="30" spans="1:85" ht="15.45" customHeight="1">
      <c r="A30" s="184" t="str">
        <f>IF(A29&lt;Application!$D$24,A29+1,"")</f>
        <v/>
      </c>
      <c r="B30" s="60" t="str">
        <f>IF(Table2[[#This Row],[Counter Number]]="","",Application!$D$16)</f>
        <v/>
      </c>
      <c r="C30" s="60" t="str">
        <f>IF(Table2[[#This Row],[Counter Number]]="","",Application!$D$14)</f>
        <v/>
      </c>
      <c r="D30" s="60" t="str">
        <f>IF(Table2[[#This Row],[Counter Number]]="","",Table1[[#This Row],[Old Bus Number]])</f>
        <v/>
      </c>
      <c r="E30" s="60" t="str">
        <f>IF(Table2[[#This Row],[Counter Number]]="","",Application!$D$15)</f>
        <v/>
      </c>
      <c r="F30" s="60" t="str">
        <f>IF(Table2[[#This Row],[Counter Number]]="","","On Highway")</f>
        <v/>
      </c>
      <c r="G30" s="60" t="str">
        <f>IF(Table2[[#This Row],[Counter Number]]="","",I30)</f>
        <v/>
      </c>
      <c r="H30" s="60" t="str">
        <f>IF(Table2[[#This Row],[Counter Number]]="","","Georgia")</f>
        <v/>
      </c>
      <c r="I30" s="60" t="str">
        <f>IF(Table2[[#This Row],[Counter Number]]="","",Application!$D$16)</f>
        <v/>
      </c>
      <c r="J30" s="60" t="str">
        <f>IF(Table2[[#This Row],[Counter Number]]="","",Application!$D$21)</f>
        <v/>
      </c>
      <c r="K30" s="60" t="str">
        <f>IF(Table2[[#This Row],[Counter Number]]="","",Application!$J$21)</f>
        <v/>
      </c>
      <c r="L30" s="60" t="str">
        <f>IF(Table2[[#This Row],[Counter Number]]="","","School Bus")</f>
        <v/>
      </c>
      <c r="M30" s="60" t="str">
        <f>IF(Table2[[#This Row],[Counter Number]]="","","School Bus")</f>
        <v/>
      </c>
      <c r="N30" s="60" t="str">
        <f>IF(Table2[[#This Row],[Counter Number]]="","",1)</f>
        <v/>
      </c>
      <c r="O30" s="60" t="str">
        <f>IF(Table2[[#This Row],[Counter Number]]="","",Table1[[#This Row],[Vehicle Identification Number(s):]])</f>
        <v/>
      </c>
      <c r="P30" s="60" t="str">
        <f>IF(Table2[[#This Row],[Counter Number]]="","",Table1[[#This Row],[Old Bus Manufacturer:]])</f>
        <v/>
      </c>
      <c r="Q30" s="60" t="str">
        <f>IF(Table2[[#This Row],[Counter Number]]="","",Table1[[#This Row],[Vehicle Model:]])</f>
        <v/>
      </c>
      <c r="R30" s="165" t="str">
        <f>IF(Table2[[#This Row],[Counter Number]]="","",Table1[[#This Row],[Vehicle Model Year:]])</f>
        <v/>
      </c>
      <c r="S30" s="60" t="str">
        <f>IF(Table2[[#This Row],[Counter Number]]="","",Table1[[#This Row],[Engine Serial Number(s):]])</f>
        <v/>
      </c>
      <c r="T30" s="60" t="str">
        <f>IF(Table2[[#This Row],[Counter Number]]="","",Table1[[#This Row],[Engine Make:]])</f>
        <v/>
      </c>
      <c r="U30" s="60" t="str">
        <f>IF(Table2[[#This Row],[Counter Number]]="","",Table1[[#This Row],[Engine Model:]])</f>
        <v/>
      </c>
      <c r="V30" s="165" t="str">
        <f>IF(Table2[[#This Row],[Counter Number]]="","",Table1[[#This Row],[Engine Model Year:]])</f>
        <v/>
      </c>
      <c r="W30" s="60" t="str">
        <f>IF(Table2[[#This Row],[Counter Number]]="","","NA")</f>
        <v/>
      </c>
      <c r="X30" s="165" t="str">
        <f>IF(Table2[[#This Row],[Counter Number]]="","",Table1[[#This Row],[Engine Horsepower (HP):]])</f>
        <v/>
      </c>
      <c r="Y30" s="165" t="str">
        <f>IF(Table2[[#This Row],[Counter Number]]="","",Table1[[#This Row],[Engine Cylinder Displacement (L):]]&amp;" L")</f>
        <v/>
      </c>
      <c r="Z30" s="165" t="str">
        <f>IF(Table2[[#This Row],[Counter Number]]="","",Table1[[#This Row],[Engine Number of Cylinders:]])</f>
        <v/>
      </c>
      <c r="AA30" s="166" t="str">
        <f>IF(Table2[[#This Row],[Counter Number]]="","",Table1[[#This Row],[Engine Family Name:]])</f>
        <v/>
      </c>
      <c r="AB30" s="60" t="str">
        <f>IF(Table2[[#This Row],[Counter Number]]="","","ULSD")</f>
        <v/>
      </c>
      <c r="AC30" s="167" t="str">
        <f>IF(Table2[[#This Row],[Counter Number]]="","",Table2[[#This Row],[Annual Miles Traveled:]]/Table1[[#This Row],[Old Fuel (mpg)]])</f>
        <v/>
      </c>
      <c r="AD30" s="60" t="str">
        <f>IF(Table2[[#This Row],[Counter Number]]="","","NA")</f>
        <v/>
      </c>
      <c r="AE30" s="168" t="str">
        <f>IF(Table2[[#This Row],[Counter Number]]="","",Table1[[#This Row],[Annual Miles Traveled]])</f>
        <v/>
      </c>
      <c r="AF30" s="169" t="str">
        <f>IF(Table2[[#This Row],[Counter Number]]="","",Table1[[#This Row],[Annual Idling Hours:]])</f>
        <v/>
      </c>
      <c r="AG30" s="60" t="str">
        <f>IF(Table2[[#This Row],[Counter Number]]="","","NA")</f>
        <v/>
      </c>
      <c r="AH30" s="165" t="str">
        <f>IF(Table2[[#This Row],[Counter Number]]="","",IF(Application!$J$25="Set Policy",Table1[[#This Row],[Remaining Life (years)         Set Policy]],Table1[[#This Row],[Remaining Life (years)               Case-by-Case]]))</f>
        <v/>
      </c>
      <c r="AI30" s="165" t="str">
        <f>IF(Table2[[#This Row],[Counter Number]]="","",IF(Application!$J$25="Case-by-Case","NA",Table2[[#This Row],[Fiscal Year of EPA Funds Used:]]+Table2[[#This Row],[Remaining Life:]]))</f>
        <v/>
      </c>
      <c r="AJ30" s="165"/>
      <c r="AK30" s="170" t="str">
        <f>IF(Table2[[#This Row],[Counter Number]]="","",Application!$D$14+1)</f>
        <v/>
      </c>
      <c r="AL30" s="60" t="str">
        <f>IF(Table2[[#This Row],[Counter Number]]="","","Vehicle Replacement")</f>
        <v/>
      </c>
      <c r="AM3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0" s="171" t="str">
        <f>IF(Table2[[#This Row],[Counter Number]]="","",Table1[[#This Row],[Cost of New Bus:]])</f>
        <v/>
      </c>
      <c r="AO30" s="60" t="str">
        <f>IF(Table2[[#This Row],[Counter Number]]="","","NA")</f>
        <v/>
      </c>
      <c r="AP30" s="165" t="str">
        <f>IF(Table2[[#This Row],[Counter Number]]="","",Table1[[#This Row],[New Engine Model Year:]])</f>
        <v/>
      </c>
      <c r="AQ30" s="60" t="str">
        <f>IF(Table2[[#This Row],[Counter Number]]="","","NA")</f>
        <v/>
      </c>
      <c r="AR30" s="165" t="str">
        <f>IF(Table2[[#This Row],[Counter Number]]="","",Table1[[#This Row],[New Engine Horsepower (HP):]])</f>
        <v/>
      </c>
      <c r="AS30" s="60" t="str">
        <f>IF(Table2[[#This Row],[Counter Number]]="","","NA")</f>
        <v/>
      </c>
      <c r="AT30" s="165" t="str">
        <f>IF(Table2[[#This Row],[Counter Number]]="","",Table1[[#This Row],[New Engine Cylinder Displacement (L):]]&amp;" L")</f>
        <v/>
      </c>
      <c r="AU30" s="114" t="str">
        <f>IF(Table2[[#This Row],[Counter Number]]="","",Table1[[#This Row],[New Engine Number of Cylinders:]])</f>
        <v/>
      </c>
      <c r="AV30" s="60" t="str">
        <f>IF(Table2[[#This Row],[Counter Number]]="","",Table1[[#This Row],[New Engine Family Name:]])</f>
        <v/>
      </c>
      <c r="AW3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0" s="60" t="str">
        <f>IF(Table2[[#This Row],[Counter Number]]="","","NA")</f>
        <v/>
      </c>
      <c r="AY30" s="172" t="str">
        <f>IF(Table2[[#This Row],[Counter Number]]="","",IF(Table2[[#This Row],[New Engine Fuel Type:]]="ULSD",Table1[[#This Row],[Annual Miles Traveled]]/Table1[[#This Row],[New Fuel (mpg) if Diesel]],""))</f>
        <v/>
      </c>
      <c r="AZ30" s="60"/>
      <c r="BA30" s="173" t="str">
        <f>IF(Table2[[#This Row],[Counter Number]]="","",Table2[[#This Row],[Annual Miles Traveled:]]*VLOOKUP(Table2[[#This Row],[Engine Model Year:]],EFTable[],3,FALSE))</f>
        <v/>
      </c>
      <c r="BB30" s="173" t="str">
        <f>IF(Table2[[#This Row],[Counter Number]]="","",Table2[[#This Row],[Annual Miles Traveled:]]*IF(Table2[[#This Row],[New Engine Fuel Type:]]="ULSD",VLOOKUP(Table2[[#This Row],[New Engine Model Year:]],EFTable[],3,FALSE),VLOOKUP(Table2[[#This Row],[New Engine Fuel Type:]],EFTable[],3,FALSE)))</f>
        <v/>
      </c>
      <c r="BC30" s="187" t="str">
        <f>IF(Table2[[#This Row],[Counter Number]]="","",Table2[[#This Row],[Old Bus NOx Emissions (tons/yr)]]-Table2[[#This Row],[New Bus NOx Emissions (tons/yr)]])</f>
        <v/>
      </c>
      <c r="BD30" s="188" t="str">
        <f>IF(Table2[[#This Row],[Counter Number]]="","",Table2[[#This Row],[Reduction Bus NOx Emissions (tons/yr)]]/Table2[[#This Row],[Old Bus NOx Emissions (tons/yr)]])</f>
        <v/>
      </c>
      <c r="BE30" s="175" t="str">
        <f>IF(Table2[[#This Row],[Counter Number]]="","",Table2[[#This Row],[Reduction Bus NOx Emissions (tons/yr)]]*Table2[[#This Row],[Remaining Life:]])</f>
        <v/>
      </c>
      <c r="BF30" s="189" t="str">
        <f>IF(Table2[[#This Row],[Counter Number]]="","",IF(Table2[[#This Row],[Lifetime NOx Reduction (tons)]]=0,"NA",Table2[[#This Row],[Upgrade Cost Per Unit]]/Table2[[#This Row],[Lifetime NOx Reduction (tons)]]))</f>
        <v/>
      </c>
      <c r="BG30" s="190" t="str">
        <f>IF(Table2[[#This Row],[Counter Number]]="","",Table2[[#This Row],[Annual Miles Traveled:]]*VLOOKUP(Table2[[#This Row],[Engine Model Year:]],EF!$A$2:$G$27,4,FALSE))</f>
        <v/>
      </c>
      <c r="BH30" s="173" t="str">
        <f>IF(Table2[[#This Row],[Counter Number]]="","",Table2[[#This Row],[Annual Miles Traveled:]]*IF(Table2[[#This Row],[New Engine Fuel Type:]]="ULSD",VLOOKUP(Table2[[#This Row],[New Engine Model Year:]],EFTable[],4,FALSE),VLOOKUP(Table2[[#This Row],[New Engine Fuel Type:]],EFTable[],4,FALSE)))</f>
        <v/>
      </c>
      <c r="BI30" s="191" t="str">
        <f>IF(Table2[[#This Row],[Counter Number]]="","",Table2[[#This Row],[Old Bus PM2.5 Emissions (tons/yr)]]-Table2[[#This Row],[New Bus PM2.5 Emissions (tons/yr)]])</f>
        <v/>
      </c>
      <c r="BJ30" s="192" t="str">
        <f>IF(Table2[[#This Row],[Counter Number]]="","",Table2[[#This Row],[Reduction Bus PM2.5 Emissions (tons/yr)]]/Table2[[#This Row],[Old Bus PM2.5 Emissions (tons/yr)]])</f>
        <v/>
      </c>
      <c r="BK30" s="193" t="str">
        <f>IF(Table2[[#This Row],[Counter Number]]="","",Table2[[#This Row],[Reduction Bus PM2.5 Emissions (tons/yr)]]*Table2[[#This Row],[Remaining Life:]])</f>
        <v/>
      </c>
      <c r="BL30" s="194" t="str">
        <f>IF(Table2[[#This Row],[Counter Number]]="","",IF(Table2[[#This Row],[Lifetime PM2.5 Reduction (tons)]]=0,"NA",Table2[[#This Row],[Upgrade Cost Per Unit]]/Table2[[#This Row],[Lifetime PM2.5 Reduction (tons)]]))</f>
        <v/>
      </c>
      <c r="BM30" s="179" t="str">
        <f>IF(Table2[[#This Row],[Counter Number]]="","",Table2[[#This Row],[Annual Miles Traveled:]]*VLOOKUP(Table2[[#This Row],[Engine Model Year:]],EF!$A$2:$G$40,5,FALSE))</f>
        <v/>
      </c>
      <c r="BN30" s="173" t="str">
        <f>IF(Table2[[#This Row],[Counter Number]]="","",Table2[[#This Row],[Annual Miles Traveled:]]*IF(Table2[[#This Row],[New Engine Fuel Type:]]="ULSD",VLOOKUP(Table2[[#This Row],[New Engine Model Year:]],EFTable[],5,FALSE),VLOOKUP(Table2[[#This Row],[New Engine Fuel Type:]],EFTable[],5,FALSE)))</f>
        <v/>
      </c>
      <c r="BO30" s="190" t="str">
        <f>IF(Table2[[#This Row],[Counter Number]]="","",Table2[[#This Row],[Old Bus HC Emissions (tons/yr)]]-Table2[[#This Row],[New Bus HC Emissions (tons/yr)]])</f>
        <v/>
      </c>
      <c r="BP30" s="188" t="str">
        <f>IF(Table2[[#This Row],[Counter Number]]="","",Table2[[#This Row],[Reduction Bus HC Emissions (tons/yr)]]/Table2[[#This Row],[Old Bus HC Emissions (tons/yr)]])</f>
        <v/>
      </c>
      <c r="BQ30" s="193" t="str">
        <f>IF(Table2[[#This Row],[Counter Number]]="","",Table2[[#This Row],[Reduction Bus HC Emissions (tons/yr)]]*Table2[[#This Row],[Remaining Life:]])</f>
        <v/>
      </c>
      <c r="BR30" s="194" t="str">
        <f>IF(Table2[[#This Row],[Counter Number]]="","",IF(Table2[[#This Row],[Lifetime HC Reduction (tons)]]=0,"NA",Table2[[#This Row],[Upgrade Cost Per Unit]]/Table2[[#This Row],[Lifetime HC Reduction (tons)]]))</f>
        <v/>
      </c>
      <c r="BS30" s="191" t="str">
        <f>IF(Table2[[#This Row],[Counter Number]]="","",Table2[[#This Row],[Annual Miles Traveled:]]*VLOOKUP(Table2[[#This Row],[Engine Model Year:]],EF!$A$2:$G$27,6,FALSE))</f>
        <v/>
      </c>
      <c r="BT30" s="173" t="str">
        <f>IF(Table2[[#This Row],[Counter Number]]="","",Table2[[#This Row],[Annual Miles Traveled:]]*IF(Table2[[#This Row],[New Engine Fuel Type:]]="ULSD",VLOOKUP(Table2[[#This Row],[New Engine Model Year:]],EFTable[],6,FALSE),VLOOKUP(Table2[[#This Row],[New Engine Fuel Type:]],EFTable[],6,FALSE)))</f>
        <v/>
      </c>
      <c r="BU30" s="190" t="str">
        <f>IF(Table2[[#This Row],[Counter Number]]="","",Table2[[#This Row],[Old Bus CO Emissions (tons/yr)]]-Table2[[#This Row],[New Bus CO Emissions (tons/yr)]])</f>
        <v/>
      </c>
      <c r="BV30" s="188" t="str">
        <f>IF(Table2[[#This Row],[Counter Number]]="","",Table2[[#This Row],[Reduction Bus CO Emissions (tons/yr)]]/Table2[[#This Row],[Old Bus CO Emissions (tons/yr)]])</f>
        <v/>
      </c>
      <c r="BW30" s="193" t="str">
        <f>IF(Table2[[#This Row],[Counter Number]]="","",Table2[[#This Row],[Reduction Bus CO Emissions (tons/yr)]]*Table2[[#This Row],[Remaining Life:]])</f>
        <v/>
      </c>
      <c r="BX30" s="194" t="str">
        <f>IF(Table2[[#This Row],[Counter Number]]="","",IF(Table2[[#This Row],[Lifetime CO Reduction (tons)]]=0,"NA",Table2[[#This Row],[Upgrade Cost Per Unit]]/Table2[[#This Row],[Lifetime CO Reduction (tons)]]))</f>
        <v/>
      </c>
      <c r="BY30" s="180" t="str">
        <f>IF(Table2[[#This Row],[Counter Number]]="","",Table2[[#This Row],[Old ULSD Used (gal):]]*VLOOKUP(Table2[[#This Row],[Engine Model Year:]],EF!$A$2:$G$27,7,FALSE))</f>
        <v/>
      </c>
      <c r="BZ3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0" s="195" t="str">
        <f>IF(Table2[[#This Row],[Counter Number]]="","",Table2[[#This Row],[Old Bus CO2 Emissions (tons/yr)]]-Table2[[#This Row],[New Bus CO2 Emissions (tons/yr)]])</f>
        <v/>
      </c>
      <c r="CB30" s="188" t="str">
        <f>IF(Table2[[#This Row],[Counter Number]]="","",Table2[[#This Row],[Reduction Bus CO2 Emissions (tons/yr)]]/Table2[[#This Row],[Old Bus CO2 Emissions (tons/yr)]])</f>
        <v/>
      </c>
      <c r="CC30" s="195" t="str">
        <f>IF(Table2[[#This Row],[Counter Number]]="","",Table2[[#This Row],[Reduction Bus CO2 Emissions (tons/yr)]]*Table2[[#This Row],[Remaining Life:]])</f>
        <v/>
      </c>
      <c r="CD30" s="194" t="str">
        <f>IF(Table2[[#This Row],[Counter Number]]="","",IF(Table2[[#This Row],[Lifetime CO2 Reduction (tons)]]=0,"NA",Table2[[#This Row],[Upgrade Cost Per Unit]]/Table2[[#This Row],[Lifetime CO2 Reduction (tons)]]))</f>
        <v/>
      </c>
      <c r="CE30" s="182" t="str">
        <f>IF(Table2[[#This Row],[Counter Number]]="","",IF(Table2[[#This Row],[New ULSD Used (gal):]]="",Table2[[#This Row],[Old ULSD Used (gal):]],Table2[[#This Row],[Old ULSD Used (gal):]]-Table2[[#This Row],[New ULSD Used (gal):]]))</f>
        <v/>
      </c>
      <c r="CF30" s="196" t="str">
        <f>IF(Table2[[#This Row],[Counter Number]]="","",Table2[[#This Row],[Diesel Fuel Reduction (gal/yr)]]/Table2[[#This Row],[Old ULSD Used (gal):]])</f>
        <v/>
      </c>
      <c r="CG30" s="197" t="str">
        <f>IF(Table2[[#This Row],[Counter Number]]="","",Table2[[#This Row],[Diesel Fuel Reduction (gal/yr)]]*Table2[[#This Row],[Remaining Life:]])</f>
        <v/>
      </c>
    </row>
    <row r="31" spans="1:85" ht="15.45" customHeight="1">
      <c r="A31" s="184" t="str">
        <f>IF(A30&lt;Application!$D$24,A30+1,"")</f>
        <v/>
      </c>
      <c r="B31" s="60" t="str">
        <f>IF(Table2[[#This Row],[Counter Number]]="","",Application!$D$16)</f>
        <v/>
      </c>
      <c r="C31" s="60" t="str">
        <f>IF(Table2[[#This Row],[Counter Number]]="","",Application!$D$14)</f>
        <v/>
      </c>
      <c r="D31" s="60" t="str">
        <f>IF(Table2[[#This Row],[Counter Number]]="","",Table1[[#This Row],[Old Bus Number]])</f>
        <v/>
      </c>
      <c r="E31" s="60" t="str">
        <f>IF(Table2[[#This Row],[Counter Number]]="","",Application!$D$15)</f>
        <v/>
      </c>
      <c r="F31" s="60" t="str">
        <f>IF(Table2[[#This Row],[Counter Number]]="","","On Highway")</f>
        <v/>
      </c>
      <c r="G31" s="60" t="str">
        <f>IF(Table2[[#This Row],[Counter Number]]="","",I31)</f>
        <v/>
      </c>
      <c r="H31" s="60" t="str">
        <f>IF(Table2[[#This Row],[Counter Number]]="","","Georgia")</f>
        <v/>
      </c>
      <c r="I31" s="60" t="str">
        <f>IF(Table2[[#This Row],[Counter Number]]="","",Application!$D$16)</f>
        <v/>
      </c>
      <c r="J31" s="60" t="str">
        <f>IF(Table2[[#This Row],[Counter Number]]="","",Application!$D$21)</f>
        <v/>
      </c>
      <c r="K31" s="60" t="str">
        <f>IF(Table2[[#This Row],[Counter Number]]="","",Application!$J$21)</f>
        <v/>
      </c>
      <c r="L31" s="60" t="str">
        <f>IF(Table2[[#This Row],[Counter Number]]="","","School Bus")</f>
        <v/>
      </c>
      <c r="M31" s="60" t="str">
        <f>IF(Table2[[#This Row],[Counter Number]]="","","School Bus")</f>
        <v/>
      </c>
      <c r="N31" s="60" t="str">
        <f>IF(Table2[[#This Row],[Counter Number]]="","",1)</f>
        <v/>
      </c>
      <c r="O31" s="60" t="str">
        <f>IF(Table2[[#This Row],[Counter Number]]="","",Table1[[#This Row],[Vehicle Identification Number(s):]])</f>
        <v/>
      </c>
      <c r="P31" s="60" t="str">
        <f>IF(Table2[[#This Row],[Counter Number]]="","",Table1[[#This Row],[Old Bus Manufacturer:]])</f>
        <v/>
      </c>
      <c r="Q31" s="60" t="str">
        <f>IF(Table2[[#This Row],[Counter Number]]="","",Table1[[#This Row],[Vehicle Model:]])</f>
        <v/>
      </c>
      <c r="R31" s="165" t="str">
        <f>IF(Table2[[#This Row],[Counter Number]]="","",Table1[[#This Row],[Vehicle Model Year:]])</f>
        <v/>
      </c>
      <c r="S31" s="60" t="str">
        <f>IF(Table2[[#This Row],[Counter Number]]="","",Table1[[#This Row],[Engine Serial Number(s):]])</f>
        <v/>
      </c>
      <c r="T31" s="60" t="str">
        <f>IF(Table2[[#This Row],[Counter Number]]="","",Table1[[#This Row],[Engine Make:]])</f>
        <v/>
      </c>
      <c r="U31" s="60" t="str">
        <f>IF(Table2[[#This Row],[Counter Number]]="","",Table1[[#This Row],[Engine Model:]])</f>
        <v/>
      </c>
      <c r="V31" s="165" t="str">
        <f>IF(Table2[[#This Row],[Counter Number]]="","",Table1[[#This Row],[Engine Model Year:]])</f>
        <v/>
      </c>
      <c r="W31" s="60" t="str">
        <f>IF(Table2[[#This Row],[Counter Number]]="","","NA")</f>
        <v/>
      </c>
      <c r="X31" s="165" t="str">
        <f>IF(Table2[[#This Row],[Counter Number]]="","",Table1[[#This Row],[Engine Horsepower (HP):]])</f>
        <v/>
      </c>
      <c r="Y31" s="165" t="str">
        <f>IF(Table2[[#This Row],[Counter Number]]="","",Table1[[#This Row],[Engine Cylinder Displacement (L):]]&amp;" L")</f>
        <v/>
      </c>
      <c r="Z31" s="165" t="str">
        <f>IF(Table2[[#This Row],[Counter Number]]="","",Table1[[#This Row],[Engine Number of Cylinders:]])</f>
        <v/>
      </c>
      <c r="AA31" s="166" t="str">
        <f>IF(Table2[[#This Row],[Counter Number]]="","",Table1[[#This Row],[Engine Family Name:]])</f>
        <v/>
      </c>
      <c r="AB31" s="60" t="str">
        <f>IF(Table2[[#This Row],[Counter Number]]="","","ULSD")</f>
        <v/>
      </c>
      <c r="AC31" s="167" t="str">
        <f>IF(Table2[[#This Row],[Counter Number]]="","",Table2[[#This Row],[Annual Miles Traveled:]]/Table1[[#This Row],[Old Fuel (mpg)]])</f>
        <v/>
      </c>
      <c r="AD31" s="60" t="str">
        <f>IF(Table2[[#This Row],[Counter Number]]="","","NA")</f>
        <v/>
      </c>
      <c r="AE31" s="168" t="str">
        <f>IF(Table2[[#This Row],[Counter Number]]="","",Table1[[#This Row],[Annual Miles Traveled]])</f>
        <v/>
      </c>
      <c r="AF31" s="169" t="str">
        <f>IF(Table2[[#This Row],[Counter Number]]="","",Table1[[#This Row],[Annual Idling Hours:]])</f>
        <v/>
      </c>
      <c r="AG31" s="60" t="str">
        <f>IF(Table2[[#This Row],[Counter Number]]="","","NA")</f>
        <v/>
      </c>
      <c r="AH31" s="165" t="str">
        <f>IF(Table2[[#This Row],[Counter Number]]="","",IF(Application!$J$25="Set Policy",Table1[[#This Row],[Remaining Life (years)         Set Policy]],Table1[[#This Row],[Remaining Life (years)               Case-by-Case]]))</f>
        <v/>
      </c>
      <c r="AI31" s="165" t="str">
        <f>IF(Table2[[#This Row],[Counter Number]]="","",IF(Application!$J$25="Case-by-Case","NA",Table2[[#This Row],[Fiscal Year of EPA Funds Used:]]+Table2[[#This Row],[Remaining Life:]]))</f>
        <v/>
      </c>
      <c r="AJ31" s="165"/>
      <c r="AK31" s="170" t="str">
        <f>IF(Table2[[#This Row],[Counter Number]]="","",Application!$D$14+1)</f>
        <v/>
      </c>
      <c r="AL31" s="60" t="str">
        <f>IF(Table2[[#This Row],[Counter Number]]="","","Vehicle Replacement")</f>
        <v/>
      </c>
      <c r="AM3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1" s="171" t="str">
        <f>IF(Table2[[#This Row],[Counter Number]]="","",Table1[[#This Row],[Cost of New Bus:]])</f>
        <v/>
      </c>
      <c r="AO31" s="60" t="str">
        <f>IF(Table2[[#This Row],[Counter Number]]="","","NA")</f>
        <v/>
      </c>
      <c r="AP31" s="165" t="str">
        <f>IF(Table2[[#This Row],[Counter Number]]="","",Table1[[#This Row],[New Engine Model Year:]])</f>
        <v/>
      </c>
      <c r="AQ31" s="60" t="str">
        <f>IF(Table2[[#This Row],[Counter Number]]="","","NA")</f>
        <v/>
      </c>
      <c r="AR31" s="165" t="str">
        <f>IF(Table2[[#This Row],[Counter Number]]="","",Table1[[#This Row],[New Engine Horsepower (HP):]])</f>
        <v/>
      </c>
      <c r="AS31" s="60" t="str">
        <f>IF(Table2[[#This Row],[Counter Number]]="","","NA")</f>
        <v/>
      </c>
      <c r="AT31" s="165" t="str">
        <f>IF(Table2[[#This Row],[Counter Number]]="","",Table1[[#This Row],[New Engine Cylinder Displacement (L):]]&amp;" L")</f>
        <v/>
      </c>
      <c r="AU31" s="114" t="str">
        <f>IF(Table2[[#This Row],[Counter Number]]="","",Table1[[#This Row],[New Engine Number of Cylinders:]])</f>
        <v/>
      </c>
      <c r="AV31" s="60" t="str">
        <f>IF(Table2[[#This Row],[Counter Number]]="","",Table1[[#This Row],[New Engine Family Name:]])</f>
        <v/>
      </c>
      <c r="AW3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1" s="60" t="str">
        <f>IF(Table2[[#This Row],[Counter Number]]="","","NA")</f>
        <v/>
      </c>
      <c r="AY31" s="172" t="str">
        <f>IF(Table2[[#This Row],[Counter Number]]="","",IF(Table2[[#This Row],[New Engine Fuel Type:]]="ULSD",Table1[[#This Row],[Annual Miles Traveled]]/Table1[[#This Row],[New Fuel (mpg) if Diesel]],""))</f>
        <v/>
      </c>
      <c r="AZ31" s="60"/>
      <c r="BA31" s="173" t="str">
        <f>IF(Table2[[#This Row],[Counter Number]]="","",Table2[[#This Row],[Annual Miles Traveled:]]*VLOOKUP(Table2[[#This Row],[Engine Model Year:]],EFTable[],3,FALSE))</f>
        <v/>
      </c>
      <c r="BB31" s="173" t="str">
        <f>IF(Table2[[#This Row],[Counter Number]]="","",Table2[[#This Row],[Annual Miles Traveled:]]*IF(Table2[[#This Row],[New Engine Fuel Type:]]="ULSD",VLOOKUP(Table2[[#This Row],[New Engine Model Year:]],EFTable[],3,FALSE),VLOOKUP(Table2[[#This Row],[New Engine Fuel Type:]],EFTable[],3,FALSE)))</f>
        <v/>
      </c>
      <c r="BC31" s="187" t="str">
        <f>IF(Table2[[#This Row],[Counter Number]]="","",Table2[[#This Row],[Old Bus NOx Emissions (tons/yr)]]-Table2[[#This Row],[New Bus NOx Emissions (tons/yr)]])</f>
        <v/>
      </c>
      <c r="BD31" s="188" t="str">
        <f>IF(Table2[[#This Row],[Counter Number]]="","",Table2[[#This Row],[Reduction Bus NOx Emissions (tons/yr)]]/Table2[[#This Row],[Old Bus NOx Emissions (tons/yr)]])</f>
        <v/>
      </c>
      <c r="BE31" s="175" t="str">
        <f>IF(Table2[[#This Row],[Counter Number]]="","",Table2[[#This Row],[Reduction Bus NOx Emissions (tons/yr)]]*Table2[[#This Row],[Remaining Life:]])</f>
        <v/>
      </c>
      <c r="BF31" s="189" t="str">
        <f>IF(Table2[[#This Row],[Counter Number]]="","",IF(Table2[[#This Row],[Lifetime NOx Reduction (tons)]]=0,"NA",Table2[[#This Row],[Upgrade Cost Per Unit]]/Table2[[#This Row],[Lifetime NOx Reduction (tons)]]))</f>
        <v/>
      </c>
      <c r="BG31" s="190" t="str">
        <f>IF(Table2[[#This Row],[Counter Number]]="","",Table2[[#This Row],[Annual Miles Traveled:]]*VLOOKUP(Table2[[#This Row],[Engine Model Year:]],EF!$A$2:$G$27,4,FALSE))</f>
        <v/>
      </c>
      <c r="BH31" s="173" t="str">
        <f>IF(Table2[[#This Row],[Counter Number]]="","",Table2[[#This Row],[Annual Miles Traveled:]]*IF(Table2[[#This Row],[New Engine Fuel Type:]]="ULSD",VLOOKUP(Table2[[#This Row],[New Engine Model Year:]],EFTable[],4,FALSE),VLOOKUP(Table2[[#This Row],[New Engine Fuel Type:]],EFTable[],4,FALSE)))</f>
        <v/>
      </c>
      <c r="BI31" s="191" t="str">
        <f>IF(Table2[[#This Row],[Counter Number]]="","",Table2[[#This Row],[Old Bus PM2.5 Emissions (tons/yr)]]-Table2[[#This Row],[New Bus PM2.5 Emissions (tons/yr)]])</f>
        <v/>
      </c>
      <c r="BJ31" s="192" t="str">
        <f>IF(Table2[[#This Row],[Counter Number]]="","",Table2[[#This Row],[Reduction Bus PM2.5 Emissions (tons/yr)]]/Table2[[#This Row],[Old Bus PM2.5 Emissions (tons/yr)]])</f>
        <v/>
      </c>
      <c r="BK31" s="193" t="str">
        <f>IF(Table2[[#This Row],[Counter Number]]="","",Table2[[#This Row],[Reduction Bus PM2.5 Emissions (tons/yr)]]*Table2[[#This Row],[Remaining Life:]])</f>
        <v/>
      </c>
      <c r="BL31" s="194" t="str">
        <f>IF(Table2[[#This Row],[Counter Number]]="","",IF(Table2[[#This Row],[Lifetime PM2.5 Reduction (tons)]]=0,"NA",Table2[[#This Row],[Upgrade Cost Per Unit]]/Table2[[#This Row],[Lifetime PM2.5 Reduction (tons)]]))</f>
        <v/>
      </c>
      <c r="BM31" s="179" t="str">
        <f>IF(Table2[[#This Row],[Counter Number]]="","",Table2[[#This Row],[Annual Miles Traveled:]]*VLOOKUP(Table2[[#This Row],[Engine Model Year:]],EF!$A$2:$G$40,5,FALSE))</f>
        <v/>
      </c>
      <c r="BN31" s="173" t="str">
        <f>IF(Table2[[#This Row],[Counter Number]]="","",Table2[[#This Row],[Annual Miles Traveled:]]*IF(Table2[[#This Row],[New Engine Fuel Type:]]="ULSD",VLOOKUP(Table2[[#This Row],[New Engine Model Year:]],EFTable[],5,FALSE),VLOOKUP(Table2[[#This Row],[New Engine Fuel Type:]],EFTable[],5,FALSE)))</f>
        <v/>
      </c>
      <c r="BO31" s="190" t="str">
        <f>IF(Table2[[#This Row],[Counter Number]]="","",Table2[[#This Row],[Old Bus HC Emissions (tons/yr)]]-Table2[[#This Row],[New Bus HC Emissions (tons/yr)]])</f>
        <v/>
      </c>
      <c r="BP31" s="188" t="str">
        <f>IF(Table2[[#This Row],[Counter Number]]="","",Table2[[#This Row],[Reduction Bus HC Emissions (tons/yr)]]/Table2[[#This Row],[Old Bus HC Emissions (tons/yr)]])</f>
        <v/>
      </c>
      <c r="BQ31" s="193" t="str">
        <f>IF(Table2[[#This Row],[Counter Number]]="","",Table2[[#This Row],[Reduction Bus HC Emissions (tons/yr)]]*Table2[[#This Row],[Remaining Life:]])</f>
        <v/>
      </c>
      <c r="BR31" s="194" t="str">
        <f>IF(Table2[[#This Row],[Counter Number]]="","",IF(Table2[[#This Row],[Lifetime HC Reduction (tons)]]=0,"NA",Table2[[#This Row],[Upgrade Cost Per Unit]]/Table2[[#This Row],[Lifetime HC Reduction (tons)]]))</f>
        <v/>
      </c>
      <c r="BS31" s="191" t="str">
        <f>IF(Table2[[#This Row],[Counter Number]]="","",Table2[[#This Row],[Annual Miles Traveled:]]*VLOOKUP(Table2[[#This Row],[Engine Model Year:]],EF!$A$2:$G$27,6,FALSE))</f>
        <v/>
      </c>
      <c r="BT31" s="173" t="str">
        <f>IF(Table2[[#This Row],[Counter Number]]="","",Table2[[#This Row],[Annual Miles Traveled:]]*IF(Table2[[#This Row],[New Engine Fuel Type:]]="ULSD",VLOOKUP(Table2[[#This Row],[New Engine Model Year:]],EFTable[],6,FALSE),VLOOKUP(Table2[[#This Row],[New Engine Fuel Type:]],EFTable[],6,FALSE)))</f>
        <v/>
      </c>
      <c r="BU31" s="190" t="str">
        <f>IF(Table2[[#This Row],[Counter Number]]="","",Table2[[#This Row],[Old Bus CO Emissions (tons/yr)]]-Table2[[#This Row],[New Bus CO Emissions (tons/yr)]])</f>
        <v/>
      </c>
      <c r="BV31" s="188" t="str">
        <f>IF(Table2[[#This Row],[Counter Number]]="","",Table2[[#This Row],[Reduction Bus CO Emissions (tons/yr)]]/Table2[[#This Row],[Old Bus CO Emissions (tons/yr)]])</f>
        <v/>
      </c>
      <c r="BW31" s="193" t="str">
        <f>IF(Table2[[#This Row],[Counter Number]]="","",Table2[[#This Row],[Reduction Bus CO Emissions (tons/yr)]]*Table2[[#This Row],[Remaining Life:]])</f>
        <v/>
      </c>
      <c r="BX31" s="194" t="str">
        <f>IF(Table2[[#This Row],[Counter Number]]="","",IF(Table2[[#This Row],[Lifetime CO Reduction (tons)]]=0,"NA",Table2[[#This Row],[Upgrade Cost Per Unit]]/Table2[[#This Row],[Lifetime CO Reduction (tons)]]))</f>
        <v/>
      </c>
      <c r="BY31" s="180" t="str">
        <f>IF(Table2[[#This Row],[Counter Number]]="","",Table2[[#This Row],[Old ULSD Used (gal):]]*VLOOKUP(Table2[[#This Row],[Engine Model Year:]],EF!$A$2:$G$27,7,FALSE))</f>
        <v/>
      </c>
      <c r="BZ3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1" s="195" t="str">
        <f>IF(Table2[[#This Row],[Counter Number]]="","",Table2[[#This Row],[Old Bus CO2 Emissions (tons/yr)]]-Table2[[#This Row],[New Bus CO2 Emissions (tons/yr)]])</f>
        <v/>
      </c>
      <c r="CB31" s="188" t="str">
        <f>IF(Table2[[#This Row],[Counter Number]]="","",Table2[[#This Row],[Reduction Bus CO2 Emissions (tons/yr)]]/Table2[[#This Row],[Old Bus CO2 Emissions (tons/yr)]])</f>
        <v/>
      </c>
      <c r="CC31" s="195" t="str">
        <f>IF(Table2[[#This Row],[Counter Number]]="","",Table2[[#This Row],[Reduction Bus CO2 Emissions (tons/yr)]]*Table2[[#This Row],[Remaining Life:]])</f>
        <v/>
      </c>
      <c r="CD31" s="194" t="str">
        <f>IF(Table2[[#This Row],[Counter Number]]="","",IF(Table2[[#This Row],[Lifetime CO2 Reduction (tons)]]=0,"NA",Table2[[#This Row],[Upgrade Cost Per Unit]]/Table2[[#This Row],[Lifetime CO2 Reduction (tons)]]))</f>
        <v/>
      </c>
      <c r="CE31" s="182" t="str">
        <f>IF(Table2[[#This Row],[Counter Number]]="","",IF(Table2[[#This Row],[New ULSD Used (gal):]]="",Table2[[#This Row],[Old ULSD Used (gal):]],Table2[[#This Row],[Old ULSD Used (gal):]]-Table2[[#This Row],[New ULSD Used (gal):]]))</f>
        <v/>
      </c>
      <c r="CF31" s="196" t="str">
        <f>IF(Table2[[#This Row],[Counter Number]]="","",Table2[[#This Row],[Diesel Fuel Reduction (gal/yr)]]/Table2[[#This Row],[Old ULSD Used (gal):]])</f>
        <v/>
      </c>
      <c r="CG31" s="197" t="str">
        <f>IF(Table2[[#This Row],[Counter Number]]="","",Table2[[#This Row],[Diesel Fuel Reduction (gal/yr)]]*Table2[[#This Row],[Remaining Life:]])</f>
        <v/>
      </c>
    </row>
    <row r="32" spans="1:85" ht="15.45" customHeight="1">
      <c r="A32" s="184" t="str">
        <f>IF(A31&lt;Application!$D$24,A31+1,"")</f>
        <v/>
      </c>
      <c r="B32" s="60" t="str">
        <f>IF(Table2[[#This Row],[Counter Number]]="","",Application!$D$16)</f>
        <v/>
      </c>
      <c r="C32" s="60" t="str">
        <f>IF(Table2[[#This Row],[Counter Number]]="","",Application!$D$14)</f>
        <v/>
      </c>
      <c r="D32" s="60" t="str">
        <f>IF(Table2[[#This Row],[Counter Number]]="","",Table1[[#This Row],[Old Bus Number]])</f>
        <v/>
      </c>
      <c r="E32" s="60" t="str">
        <f>IF(Table2[[#This Row],[Counter Number]]="","",Application!$D$15)</f>
        <v/>
      </c>
      <c r="F32" s="60" t="str">
        <f>IF(Table2[[#This Row],[Counter Number]]="","","On Highway")</f>
        <v/>
      </c>
      <c r="G32" s="60" t="str">
        <f>IF(Table2[[#This Row],[Counter Number]]="","",I32)</f>
        <v/>
      </c>
      <c r="H32" s="60" t="str">
        <f>IF(Table2[[#This Row],[Counter Number]]="","","Georgia")</f>
        <v/>
      </c>
      <c r="I32" s="60" t="str">
        <f>IF(Table2[[#This Row],[Counter Number]]="","",Application!$D$16)</f>
        <v/>
      </c>
      <c r="J32" s="60" t="str">
        <f>IF(Table2[[#This Row],[Counter Number]]="","",Application!$D$21)</f>
        <v/>
      </c>
      <c r="K32" s="60" t="str">
        <f>IF(Table2[[#This Row],[Counter Number]]="","",Application!$J$21)</f>
        <v/>
      </c>
      <c r="L32" s="60" t="str">
        <f>IF(Table2[[#This Row],[Counter Number]]="","","School Bus")</f>
        <v/>
      </c>
      <c r="M32" s="60" t="str">
        <f>IF(Table2[[#This Row],[Counter Number]]="","","School Bus")</f>
        <v/>
      </c>
      <c r="N32" s="60" t="str">
        <f>IF(Table2[[#This Row],[Counter Number]]="","",1)</f>
        <v/>
      </c>
      <c r="O32" s="60" t="str">
        <f>IF(Table2[[#This Row],[Counter Number]]="","",Table1[[#This Row],[Vehicle Identification Number(s):]])</f>
        <v/>
      </c>
      <c r="P32" s="60" t="str">
        <f>IF(Table2[[#This Row],[Counter Number]]="","",Table1[[#This Row],[Old Bus Manufacturer:]])</f>
        <v/>
      </c>
      <c r="Q32" s="60" t="str">
        <f>IF(Table2[[#This Row],[Counter Number]]="","",Table1[[#This Row],[Vehicle Model:]])</f>
        <v/>
      </c>
      <c r="R32" s="165" t="str">
        <f>IF(Table2[[#This Row],[Counter Number]]="","",Table1[[#This Row],[Vehicle Model Year:]])</f>
        <v/>
      </c>
      <c r="S32" s="60" t="str">
        <f>IF(Table2[[#This Row],[Counter Number]]="","",Table1[[#This Row],[Engine Serial Number(s):]])</f>
        <v/>
      </c>
      <c r="T32" s="60" t="str">
        <f>IF(Table2[[#This Row],[Counter Number]]="","",Table1[[#This Row],[Engine Make:]])</f>
        <v/>
      </c>
      <c r="U32" s="60" t="str">
        <f>IF(Table2[[#This Row],[Counter Number]]="","",Table1[[#This Row],[Engine Model:]])</f>
        <v/>
      </c>
      <c r="V32" s="165" t="str">
        <f>IF(Table2[[#This Row],[Counter Number]]="","",Table1[[#This Row],[Engine Model Year:]])</f>
        <v/>
      </c>
      <c r="W32" s="60" t="str">
        <f>IF(Table2[[#This Row],[Counter Number]]="","","NA")</f>
        <v/>
      </c>
      <c r="X32" s="165" t="str">
        <f>IF(Table2[[#This Row],[Counter Number]]="","",Table1[[#This Row],[Engine Horsepower (HP):]])</f>
        <v/>
      </c>
      <c r="Y32" s="165" t="str">
        <f>IF(Table2[[#This Row],[Counter Number]]="","",Table1[[#This Row],[Engine Cylinder Displacement (L):]]&amp;" L")</f>
        <v/>
      </c>
      <c r="Z32" s="165" t="str">
        <f>IF(Table2[[#This Row],[Counter Number]]="","",Table1[[#This Row],[Engine Number of Cylinders:]])</f>
        <v/>
      </c>
      <c r="AA32" s="166" t="str">
        <f>IF(Table2[[#This Row],[Counter Number]]="","",Table1[[#This Row],[Engine Family Name:]])</f>
        <v/>
      </c>
      <c r="AB32" s="60" t="str">
        <f>IF(Table2[[#This Row],[Counter Number]]="","","ULSD")</f>
        <v/>
      </c>
      <c r="AC32" s="167" t="str">
        <f>IF(Table2[[#This Row],[Counter Number]]="","",Table2[[#This Row],[Annual Miles Traveled:]]/Table1[[#This Row],[Old Fuel (mpg)]])</f>
        <v/>
      </c>
      <c r="AD32" s="60" t="str">
        <f>IF(Table2[[#This Row],[Counter Number]]="","","NA")</f>
        <v/>
      </c>
      <c r="AE32" s="168" t="str">
        <f>IF(Table2[[#This Row],[Counter Number]]="","",Table1[[#This Row],[Annual Miles Traveled]])</f>
        <v/>
      </c>
      <c r="AF32" s="169" t="str">
        <f>IF(Table2[[#This Row],[Counter Number]]="","",Table1[[#This Row],[Annual Idling Hours:]])</f>
        <v/>
      </c>
      <c r="AG32" s="60" t="str">
        <f>IF(Table2[[#This Row],[Counter Number]]="","","NA")</f>
        <v/>
      </c>
      <c r="AH32" s="165" t="str">
        <f>IF(Table2[[#This Row],[Counter Number]]="","",IF(Application!$J$25="Set Policy",Table1[[#This Row],[Remaining Life (years)         Set Policy]],Table1[[#This Row],[Remaining Life (years)               Case-by-Case]]))</f>
        <v/>
      </c>
      <c r="AI32" s="165" t="str">
        <f>IF(Table2[[#This Row],[Counter Number]]="","",IF(Application!$J$25="Case-by-Case","NA",Table2[[#This Row],[Fiscal Year of EPA Funds Used:]]+Table2[[#This Row],[Remaining Life:]]))</f>
        <v/>
      </c>
      <c r="AJ32" s="165"/>
      <c r="AK32" s="170" t="str">
        <f>IF(Table2[[#This Row],[Counter Number]]="","",Application!$D$14+1)</f>
        <v/>
      </c>
      <c r="AL32" s="60" t="str">
        <f>IF(Table2[[#This Row],[Counter Number]]="","","Vehicle Replacement")</f>
        <v/>
      </c>
      <c r="AM3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2" s="171" t="str">
        <f>IF(Table2[[#This Row],[Counter Number]]="","",Table1[[#This Row],[Cost of New Bus:]])</f>
        <v/>
      </c>
      <c r="AO32" s="60" t="str">
        <f>IF(Table2[[#This Row],[Counter Number]]="","","NA")</f>
        <v/>
      </c>
      <c r="AP32" s="165" t="str">
        <f>IF(Table2[[#This Row],[Counter Number]]="","",Table1[[#This Row],[New Engine Model Year:]])</f>
        <v/>
      </c>
      <c r="AQ32" s="60" t="str">
        <f>IF(Table2[[#This Row],[Counter Number]]="","","NA")</f>
        <v/>
      </c>
      <c r="AR32" s="165" t="str">
        <f>IF(Table2[[#This Row],[Counter Number]]="","",Table1[[#This Row],[New Engine Horsepower (HP):]])</f>
        <v/>
      </c>
      <c r="AS32" s="60" t="str">
        <f>IF(Table2[[#This Row],[Counter Number]]="","","NA")</f>
        <v/>
      </c>
      <c r="AT32" s="165" t="str">
        <f>IF(Table2[[#This Row],[Counter Number]]="","",Table1[[#This Row],[New Engine Cylinder Displacement (L):]]&amp;" L")</f>
        <v/>
      </c>
      <c r="AU32" s="114" t="str">
        <f>IF(Table2[[#This Row],[Counter Number]]="","",Table1[[#This Row],[New Engine Number of Cylinders:]])</f>
        <v/>
      </c>
      <c r="AV32" s="60" t="str">
        <f>IF(Table2[[#This Row],[Counter Number]]="","",Table1[[#This Row],[New Engine Family Name:]])</f>
        <v/>
      </c>
      <c r="AW3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2" s="60" t="str">
        <f>IF(Table2[[#This Row],[Counter Number]]="","","NA")</f>
        <v/>
      </c>
      <c r="AY32" s="172" t="str">
        <f>IF(Table2[[#This Row],[Counter Number]]="","",IF(Table2[[#This Row],[New Engine Fuel Type:]]="ULSD",Table1[[#This Row],[Annual Miles Traveled]]/Table1[[#This Row],[New Fuel (mpg) if Diesel]],""))</f>
        <v/>
      </c>
      <c r="AZ32" s="60"/>
      <c r="BA32" s="173" t="str">
        <f>IF(Table2[[#This Row],[Counter Number]]="","",Table2[[#This Row],[Annual Miles Traveled:]]*VLOOKUP(Table2[[#This Row],[Engine Model Year:]],EFTable[],3,FALSE))</f>
        <v/>
      </c>
      <c r="BB32" s="173" t="str">
        <f>IF(Table2[[#This Row],[Counter Number]]="","",Table2[[#This Row],[Annual Miles Traveled:]]*IF(Table2[[#This Row],[New Engine Fuel Type:]]="ULSD",VLOOKUP(Table2[[#This Row],[New Engine Model Year:]],EFTable[],3,FALSE),VLOOKUP(Table2[[#This Row],[New Engine Fuel Type:]],EFTable[],3,FALSE)))</f>
        <v/>
      </c>
      <c r="BC32" s="187" t="str">
        <f>IF(Table2[[#This Row],[Counter Number]]="","",Table2[[#This Row],[Old Bus NOx Emissions (tons/yr)]]-Table2[[#This Row],[New Bus NOx Emissions (tons/yr)]])</f>
        <v/>
      </c>
      <c r="BD32" s="188" t="str">
        <f>IF(Table2[[#This Row],[Counter Number]]="","",Table2[[#This Row],[Reduction Bus NOx Emissions (tons/yr)]]/Table2[[#This Row],[Old Bus NOx Emissions (tons/yr)]])</f>
        <v/>
      </c>
      <c r="BE32" s="175" t="str">
        <f>IF(Table2[[#This Row],[Counter Number]]="","",Table2[[#This Row],[Reduction Bus NOx Emissions (tons/yr)]]*Table2[[#This Row],[Remaining Life:]])</f>
        <v/>
      </c>
      <c r="BF32" s="189" t="str">
        <f>IF(Table2[[#This Row],[Counter Number]]="","",IF(Table2[[#This Row],[Lifetime NOx Reduction (tons)]]=0,"NA",Table2[[#This Row],[Upgrade Cost Per Unit]]/Table2[[#This Row],[Lifetime NOx Reduction (tons)]]))</f>
        <v/>
      </c>
      <c r="BG32" s="190" t="str">
        <f>IF(Table2[[#This Row],[Counter Number]]="","",Table2[[#This Row],[Annual Miles Traveled:]]*VLOOKUP(Table2[[#This Row],[Engine Model Year:]],EF!$A$2:$G$27,4,FALSE))</f>
        <v/>
      </c>
      <c r="BH32" s="173" t="str">
        <f>IF(Table2[[#This Row],[Counter Number]]="","",Table2[[#This Row],[Annual Miles Traveled:]]*IF(Table2[[#This Row],[New Engine Fuel Type:]]="ULSD",VLOOKUP(Table2[[#This Row],[New Engine Model Year:]],EFTable[],4,FALSE),VLOOKUP(Table2[[#This Row],[New Engine Fuel Type:]],EFTable[],4,FALSE)))</f>
        <v/>
      </c>
      <c r="BI32" s="191" t="str">
        <f>IF(Table2[[#This Row],[Counter Number]]="","",Table2[[#This Row],[Old Bus PM2.5 Emissions (tons/yr)]]-Table2[[#This Row],[New Bus PM2.5 Emissions (tons/yr)]])</f>
        <v/>
      </c>
      <c r="BJ32" s="192" t="str">
        <f>IF(Table2[[#This Row],[Counter Number]]="","",Table2[[#This Row],[Reduction Bus PM2.5 Emissions (tons/yr)]]/Table2[[#This Row],[Old Bus PM2.5 Emissions (tons/yr)]])</f>
        <v/>
      </c>
      <c r="BK32" s="193" t="str">
        <f>IF(Table2[[#This Row],[Counter Number]]="","",Table2[[#This Row],[Reduction Bus PM2.5 Emissions (tons/yr)]]*Table2[[#This Row],[Remaining Life:]])</f>
        <v/>
      </c>
      <c r="BL32" s="194" t="str">
        <f>IF(Table2[[#This Row],[Counter Number]]="","",IF(Table2[[#This Row],[Lifetime PM2.5 Reduction (tons)]]=0,"NA",Table2[[#This Row],[Upgrade Cost Per Unit]]/Table2[[#This Row],[Lifetime PM2.5 Reduction (tons)]]))</f>
        <v/>
      </c>
      <c r="BM32" s="179" t="str">
        <f>IF(Table2[[#This Row],[Counter Number]]="","",Table2[[#This Row],[Annual Miles Traveled:]]*VLOOKUP(Table2[[#This Row],[Engine Model Year:]],EF!$A$2:$G$40,5,FALSE))</f>
        <v/>
      </c>
      <c r="BN32" s="173" t="str">
        <f>IF(Table2[[#This Row],[Counter Number]]="","",Table2[[#This Row],[Annual Miles Traveled:]]*IF(Table2[[#This Row],[New Engine Fuel Type:]]="ULSD",VLOOKUP(Table2[[#This Row],[New Engine Model Year:]],EFTable[],5,FALSE),VLOOKUP(Table2[[#This Row],[New Engine Fuel Type:]],EFTable[],5,FALSE)))</f>
        <v/>
      </c>
      <c r="BO32" s="190" t="str">
        <f>IF(Table2[[#This Row],[Counter Number]]="","",Table2[[#This Row],[Old Bus HC Emissions (tons/yr)]]-Table2[[#This Row],[New Bus HC Emissions (tons/yr)]])</f>
        <v/>
      </c>
      <c r="BP32" s="188" t="str">
        <f>IF(Table2[[#This Row],[Counter Number]]="","",Table2[[#This Row],[Reduction Bus HC Emissions (tons/yr)]]/Table2[[#This Row],[Old Bus HC Emissions (tons/yr)]])</f>
        <v/>
      </c>
      <c r="BQ32" s="193" t="str">
        <f>IF(Table2[[#This Row],[Counter Number]]="","",Table2[[#This Row],[Reduction Bus HC Emissions (tons/yr)]]*Table2[[#This Row],[Remaining Life:]])</f>
        <v/>
      </c>
      <c r="BR32" s="194" t="str">
        <f>IF(Table2[[#This Row],[Counter Number]]="","",IF(Table2[[#This Row],[Lifetime HC Reduction (tons)]]=0,"NA",Table2[[#This Row],[Upgrade Cost Per Unit]]/Table2[[#This Row],[Lifetime HC Reduction (tons)]]))</f>
        <v/>
      </c>
      <c r="BS32" s="191" t="str">
        <f>IF(Table2[[#This Row],[Counter Number]]="","",Table2[[#This Row],[Annual Miles Traveled:]]*VLOOKUP(Table2[[#This Row],[Engine Model Year:]],EF!$A$2:$G$27,6,FALSE))</f>
        <v/>
      </c>
      <c r="BT32" s="173" t="str">
        <f>IF(Table2[[#This Row],[Counter Number]]="","",Table2[[#This Row],[Annual Miles Traveled:]]*IF(Table2[[#This Row],[New Engine Fuel Type:]]="ULSD",VLOOKUP(Table2[[#This Row],[New Engine Model Year:]],EFTable[],6,FALSE),VLOOKUP(Table2[[#This Row],[New Engine Fuel Type:]],EFTable[],6,FALSE)))</f>
        <v/>
      </c>
      <c r="BU32" s="190" t="str">
        <f>IF(Table2[[#This Row],[Counter Number]]="","",Table2[[#This Row],[Old Bus CO Emissions (tons/yr)]]-Table2[[#This Row],[New Bus CO Emissions (tons/yr)]])</f>
        <v/>
      </c>
      <c r="BV32" s="188" t="str">
        <f>IF(Table2[[#This Row],[Counter Number]]="","",Table2[[#This Row],[Reduction Bus CO Emissions (tons/yr)]]/Table2[[#This Row],[Old Bus CO Emissions (tons/yr)]])</f>
        <v/>
      </c>
      <c r="BW32" s="193" t="str">
        <f>IF(Table2[[#This Row],[Counter Number]]="","",Table2[[#This Row],[Reduction Bus CO Emissions (tons/yr)]]*Table2[[#This Row],[Remaining Life:]])</f>
        <v/>
      </c>
      <c r="BX32" s="194" t="str">
        <f>IF(Table2[[#This Row],[Counter Number]]="","",IF(Table2[[#This Row],[Lifetime CO Reduction (tons)]]=0,"NA",Table2[[#This Row],[Upgrade Cost Per Unit]]/Table2[[#This Row],[Lifetime CO Reduction (tons)]]))</f>
        <v/>
      </c>
      <c r="BY32" s="180" t="str">
        <f>IF(Table2[[#This Row],[Counter Number]]="","",Table2[[#This Row],[Old ULSD Used (gal):]]*VLOOKUP(Table2[[#This Row],[Engine Model Year:]],EF!$A$2:$G$27,7,FALSE))</f>
        <v/>
      </c>
      <c r="BZ3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2" s="195" t="str">
        <f>IF(Table2[[#This Row],[Counter Number]]="","",Table2[[#This Row],[Old Bus CO2 Emissions (tons/yr)]]-Table2[[#This Row],[New Bus CO2 Emissions (tons/yr)]])</f>
        <v/>
      </c>
      <c r="CB32" s="188" t="str">
        <f>IF(Table2[[#This Row],[Counter Number]]="","",Table2[[#This Row],[Reduction Bus CO2 Emissions (tons/yr)]]/Table2[[#This Row],[Old Bus CO2 Emissions (tons/yr)]])</f>
        <v/>
      </c>
      <c r="CC32" s="195" t="str">
        <f>IF(Table2[[#This Row],[Counter Number]]="","",Table2[[#This Row],[Reduction Bus CO2 Emissions (tons/yr)]]*Table2[[#This Row],[Remaining Life:]])</f>
        <v/>
      </c>
      <c r="CD32" s="194" t="str">
        <f>IF(Table2[[#This Row],[Counter Number]]="","",IF(Table2[[#This Row],[Lifetime CO2 Reduction (tons)]]=0,"NA",Table2[[#This Row],[Upgrade Cost Per Unit]]/Table2[[#This Row],[Lifetime CO2 Reduction (tons)]]))</f>
        <v/>
      </c>
      <c r="CE32" s="182" t="str">
        <f>IF(Table2[[#This Row],[Counter Number]]="","",IF(Table2[[#This Row],[New ULSD Used (gal):]]="",Table2[[#This Row],[Old ULSD Used (gal):]],Table2[[#This Row],[Old ULSD Used (gal):]]-Table2[[#This Row],[New ULSD Used (gal):]]))</f>
        <v/>
      </c>
      <c r="CF32" s="196" t="str">
        <f>IF(Table2[[#This Row],[Counter Number]]="","",Table2[[#This Row],[Diesel Fuel Reduction (gal/yr)]]/Table2[[#This Row],[Old ULSD Used (gal):]])</f>
        <v/>
      </c>
      <c r="CG32" s="197" t="str">
        <f>IF(Table2[[#This Row],[Counter Number]]="","",Table2[[#This Row],[Diesel Fuel Reduction (gal/yr)]]*Table2[[#This Row],[Remaining Life:]])</f>
        <v/>
      </c>
    </row>
    <row r="33" spans="1:85" ht="15.45" customHeight="1">
      <c r="A33" s="184" t="str">
        <f>IF(A32&lt;Application!$D$24,A32+1,"")</f>
        <v/>
      </c>
      <c r="B33" s="60" t="str">
        <f>IF(Table2[[#This Row],[Counter Number]]="","",Application!$D$16)</f>
        <v/>
      </c>
      <c r="C33" s="60" t="str">
        <f>IF(Table2[[#This Row],[Counter Number]]="","",Application!$D$14)</f>
        <v/>
      </c>
      <c r="D33" s="60" t="str">
        <f>IF(Table2[[#This Row],[Counter Number]]="","",Table1[[#This Row],[Old Bus Number]])</f>
        <v/>
      </c>
      <c r="E33" s="60" t="str">
        <f>IF(Table2[[#This Row],[Counter Number]]="","",Application!$D$15)</f>
        <v/>
      </c>
      <c r="F33" s="60" t="str">
        <f>IF(Table2[[#This Row],[Counter Number]]="","","On Highway")</f>
        <v/>
      </c>
      <c r="G33" s="60" t="str">
        <f>IF(Table2[[#This Row],[Counter Number]]="","",I33)</f>
        <v/>
      </c>
      <c r="H33" s="60" t="str">
        <f>IF(Table2[[#This Row],[Counter Number]]="","","Georgia")</f>
        <v/>
      </c>
      <c r="I33" s="60" t="str">
        <f>IF(Table2[[#This Row],[Counter Number]]="","",Application!$D$16)</f>
        <v/>
      </c>
      <c r="J33" s="60" t="str">
        <f>IF(Table2[[#This Row],[Counter Number]]="","",Application!$D$21)</f>
        <v/>
      </c>
      <c r="K33" s="60" t="str">
        <f>IF(Table2[[#This Row],[Counter Number]]="","",Application!$J$21)</f>
        <v/>
      </c>
      <c r="L33" s="60" t="str">
        <f>IF(Table2[[#This Row],[Counter Number]]="","","School Bus")</f>
        <v/>
      </c>
      <c r="M33" s="60" t="str">
        <f>IF(Table2[[#This Row],[Counter Number]]="","","School Bus")</f>
        <v/>
      </c>
      <c r="N33" s="60" t="str">
        <f>IF(Table2[[#This Row],[Counter Number]]="","",1)</f>
        <v/>
      </c>
      <c r="O33" s="60" t="str">
        <f>IF(Table2[[#This Row],[Counter Number]]="","",Table1[[#This Row],[Vehicle Identification Number(s):]])</f>
        <v/>
      </c>
      <c r="P33" s="60" t="str">
        <f>IF(Table2[[#This Row],[Counter Number]]="","",Table1[[#This Row],[Old Bus Manufacturer:]])</f>
        <v/>
      </c>
      <c r="Q33" s="60" t="str">
        <f>IF(Table2[[#This Row],[Counter Number]]="","",Table1[[#This Row],[Vehicle Model:]])</f>
        <v/>
      </c>
      <c r="R33" s="165" t="str">
        <f>IF(Table2[[#This Row],[Counter Number]]="","",Table1[[#This Row],[Vehicle Model Year:]])</f>
        <v/>
      </c>
      <c r="S33" s="60" t="str">
        <f>IF(Table2[[#This Row],[Counter Number]]="","",Table1[[#This Row],[Engine Serial Number(s):]])</f>
        <v/>
      </c>
      <c r="T33" s="60" t="str">
        <f>IF(Table2[[#This Row],[Counter Number]]="","",Table1[[#This Row],[Engine Make:]])</f>
        <v/>
      </c>
      <c r="U33" s="60" t="str">
        <f>IF(Table2[[#This Row],[Counter Number]]="","",Table1[[#This Row],[Engine Model:]])</f>
        <v/>
      </c>
      <c r="V33" s="165" t="str">
        <f>IF(Table2[[#This Row],[Counter Number]]="","",Table1[[#This Row],[Engine Model Year:]])</f>
        <v/>
      </c>
      <c r="W33" s="60" t="str">
        <f>IF(Table2[[#This Row],[Counter Number]]="","","NA")</f>
        <v/>
      </c>
      <c r="X33" s="165" t="str">
        <f>IF(Table2[[#This Row],[Counter Number]]="","",Table1[[#This Row],[Engine Horsepower (HP):]])</f>
        <v/>
      </c>
      <c r="Y33" s="165" t="str">
        <f>IF(Table2[[#This Row],[Counter Number]]="","",Table1[[#This Row],[Engine Cylinder Displacement (L):]]&amp;" L")</f>
        <v/>
      </c>
      <c r="Z33" s="165" t="str">
        <f>IF(Table2[[#This Row],[Counter Number]]="","",Table1[[#This Row],[Engine Number of Cylinders:]])</f>
        <v/>
      </c>
      <c r="AA33" s="166" t="str">
        <f>IF(Table2[[#This Row],[Counter Number]]="","",Table1[[#This Row],[Engine Family Name:]])</f>
        <v/>
      </c>
      <c r="AB33" s="60" t="str">
        <f>IF(Table2[[#This Row],[Counter Number]]="","","ULSD")</f>
        <v/>
      </c>
      <c r="AC33" s="167" t="str">
        <f>IF(Table2[[#This Row],[Counter Number]]="","",Table2[[#This Row],[Annual Miles Traveled:]]/Table1[[#This Row],[Old Fuel (mpg)]])</f>
        <v/>
      </c>
      <c r="AD33" s="60" t="str">
        <f>IF(Table2[[#This Row],[Counter Number]]="","","NA")</f>
        <v/>
      </c>
      <c r="AE33" s="168" t="str">
        <f>IF(Table2[[#This Row],[Counter Number]]="","",Table1[[#This Row],[Annual Miles Traveled]])</f>
        <v/>
      </c>
      <c r="AF33" s="169" t="str">
        <f>IF(Table2[[#This Row],[Counter Number]]="","",Table1[[#This Row],[Annual Idling Hours:]])</f>
        <v/>
      </c>
      <c r="AG33" s="60" t="str">
        <f>IF(Table2[[#This Row],[Counter Number]]="","","NA")</f>
        <v/>
      </c>
      <c r="AH33" s="165" t="str">
        <f>IF(Table2[[#This Row],[Counter Number]]="","",IF(Application!$J$25="Set Policy",Table1[[#This Row],[Remaining Life (years)         Set Policy]],Table1[[#This Row],[Remaining Life (years)               Case-by-Case]]))</f>
        <v/>
      </c>
      <c r="AI33" s="165" t="str">
        <f>IF(Table2[[#This Row],[Counter Number]]="","",IF(Application!$J$25="Case-by-Case","NA",Table2[[#This Row],[Fiscal Year of EPA Funds Used:]]+Table2[[#This Row],[Remaining Life:]]))</f>
        <v/>
      </c>
      <c r="AJ33" s="165"/>
      <c r="AK33" s="170" t="str">
        <f>IF(Table2[[#This Row],[Counter Number]]="","",Application!$D$14+1)</f>
        <v/>
      </c>
      <c r="AL33" s="60" t="str">
        <f>IF(Table2[[#This Row],[Counter Number]]="","","Vehicle Replacement")</f>
        <v/>
      </c>
      <c r="AM3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3" s="171" t="str">
        <f>IF(Table2[[#This Row],[Counter Number]]="","",Table1[[#This Row],[Cost of New Bus:]])</f>
        <v/>
      </c>
      <c r="AO33" s="60" t="str">
        <f>IF(Table2[[#This Row],[Counter Number]]="","","NA")</f>
        <v/>
      </c>
      <c r="AP33" s="165" t="str">
        <f>IF(Table2[[#This Row],[Counter Number]]="","",Table1[[#This Row],[New Engine Model Year:]])</f>
        <v/>
      </c>
      <c r="AQ33" s="60" t="str">
        <f>IF(Table2[[#This Row],[Counter Number]]="","","NA")</f>
        <v/>
      </c>
      <c r="AR33" s="165" t="str">
        <f>IF(Table2[[#This Row],[Counter Number]]="","",Table1[[#This Row],[New Engine Horsepower (HP):]])</f>
        <v/>
      </c>
      <c r="AS33" s="60" t="str">
        <f>IF(Table2[[#This Row],[Counter Number]]="","","NA")</f>
        <v/>
      </c>
      <c r="AT33" s="165" t="str">
        <f>IF(Table2[[#This Row],[Counter Number]]="","",Table1[[#This Row],[New Engine Cylinder Displacement (L):]]&amp;" L")</f>
        <v/>
      </c>
      <c r="AU33" s="114" t="str">
        <f>IF(Table2[[#This Row],[Counter Number]]="","",Table1[[#This Row],[New Engine Number of Cylinders:]])</f>
        <v/>
      </c>
      <c r="AV33" s="60" t="str">
        <f>IF(Table2[[#This Row],[Counter Number]]="","",Table1[[#This Row],[New Engine Family Name:]])</f>
        <v/>
      </c>
      <c r="AW3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3" s="60" t="str">
        <f>IF(Table2[[#This Row],[Counter Number]]="","","NA")</f>
        <v/>
      </c>
      <c r="AY33" s="172" t="str">
        <f>IF(Table2[[#This Row],[Counter Number]]="","",IF(Table2[[#This Row],[New Engine Fuel Type:]]="ULSD",Table1[[#This Row],[Annual Miles Traveled]]/Table1[[#This Row],[New Fuel (mpg) if Diesel]],""))</f>
        <v/>
      </c>
      <c r="AZ33" s="60"/>
      <c r="BA33" s="173" t="str">
        <f>IF(Table2[[#This Row],[Counter Number]]="","",Table2[[#This Row],[Annual Miles Traveled:]]*VLOOKUP(Table2[[#This Row],[Engine Model Year:]],EFTable[],3,FALSE))</f>
        <v/>
      </c>
      <c r="BB33" s="173" t="str">
        <f>IF(Table2[[#This Row],[Counter Number]]="","",Table2[[#This Row],[Annual Miles Traveled:]]*IF(Table2[[#This Row],[New Engine Fuel Type:]]="ULSD",VLOOKUP(Table2[[#This Row],[New Engine Model Year:]],EFTable[],3,FALSE),VLOOKUP(Table2[[#This Row],[New Engine Fuel Type:]],EFTable[],3,FALSE)))</f>
        <v/>
      </c>
      <c r="BC33" s="187" t="str">
        <f>IF(Table2[[#This Row],[Counter Number]]="","",Table2[[#This Row],[Old Bus NOx Emissions (tons/yr)]]-Table2[[#This Row],[New Bus NOx Emissions (tons/yr)]])</f>
        <v/>
      </c>
      <c r="BD33" s="188" t="str">
        <f>IF(Table2[[#This Row],[Counter Number]]="","",Table2[[#This Row],[Reduction Bus NOx Emissions (tons/yr)]]/Table2[[#This Row],[Old Bus NOx Emissions (tons/yr)]])</f>
        <v/>
      </c>
      <c r="BE33" s="175" t="str">
        <f>IF(Table2[[#This Row],[Counter Number]]="","",Table2[[#This Row],[Reduction Bus NOx Emissions (tons/yr)]]*Table2[[#This Row],[Remaining Life:]])</f>
        <v/>
      </c>
      <c r="BF33" s="189" t="str">
        <f>IF(Table2[[#This Row],[Counter Number]]="","",IF(Table2[[#This Row],[Lifetime NOx Reduction (tons)]]=0,"NA",Table2[[#This Row],[Upgrade Cost Per Unit]]/Table2[[#This Row],[Lifetime NOx Reduction (tons)]]))</f>
        <v/>
      </c>
      <c r="BG33" s="190" t="str">
        <f>IF(Table2[[#This Row],[Counter Number]]="","",Table2[[#This Row],[Annual Miles Traveled:]]*VLOOKUP(Table2[[#This Row],[Engine Model Year:]],EF!$A$2:$G$27,4,FALSE))</f>
        <v/>
      </c>
      <c r="BH33" s="173" t="str">
        <f>IF(Table2[[#This Row],[Counter Number]]="","",Table2[[#This Row],[Annual Miles Traveled:]]*IF(Table2[[#This Row],[New Engine Fuel Type:]]="ULSD",VLOOKUP(Table2[[#This Row],[New Engine Model Year:]],EFTable[],4,FALSE),VLOOKUP(Table2[[#This Row],[New Engine Fuel Type:]],EFTable[],4,FALSE)))</f>
        <v/>
      </c>
      <c r="BI33" s="191" t="str">
        <f>IF(Table2[[#This Row],[Counter Number]]="","",Table2[[#This Row],[Old Bus PM2.5 Emissions (tons/yr)]]-Table2[[#This Row],[New Bus PM2.5 Emissions (tons/yr)]])</f>
        <v/>
      </c>
      <c r="BJ33" s="192" t="str">
        <f>IF(Table2[[#This Row],[Counter Number]]="","",Table2[[#This Row],[Reduction Bus PM2.5 Emissions (tons/yr)]]/Table2[[#This Row],[Old Bus PM2.5 Emissions (tons/yr)]])</f>
        <v/>
      </c>
      <c r="BK33" s="193" t="str">
        <f>IF(Table2[[#This Row],[Counter Number]]="","",Table2[[#This Row],[Reduction Bus PM2.5 Emissions (tons/yr)]]*Table2[[#This Row],[Remaining Life:]])</f>
        <v/>
      </c>
      <c r="BL33" s="194" t="str">
        <f>IF(Table2[[#This Row],[Counter Number]]="","",IF(Table2[[#This Row],[Lifetime PM2.5 Reduction (tons)]]=0,"NA",Table2[[#This Row],[Upgrade Cost Per Unit]]/Table2[[#This Row],[Lifetime PM2.5 Reduction (tons)]]))</f>
        <v/>
      </c>
      <c r="BM33" s="179" t="str">
        <f>IF(Table2[[#This Row],[Counter Number]]="","",Table2[[#This Row],[Annual Miles Traveled:]]*VLOOKUP(Table2[[#This Row],[Engine Model Year:]],EF!$A$2:$G$40,5,FALSE))</f>
        <v/>
      </c>
      <c r="BN33" s="173" t="str">
        <f>IF(Table2[[#This Row],[Counter Number]]="","",Table2[[#This Row],[Annual Miles Traveled:]]*IF(Table2[[#This Row],[New Engine Fuel Type:]]="ULSD",VLOOKUP(Table2[[#This Row],[New Engine Model Year:]],EFTable[],5,FALSE),VLOOKUP(Table2[[#This Row],[New Engine Fuel Type:]],EFTable[],5,FALSE)))</f>
        <v/>
      </c>
      <c r="BO33" s="190" t="str">
        <f>IF(Table2[[#This Row],[Counter Number]]="","",Table2[[#This Row],[Old Bus HC Emissions (tons/yr)]]-Table2[[#This Row],[New Bus HC Emissions (tons/yr)]])</f>
        <v/>
      </c>
      <c r="BP33" s="188" t="str">
        <f>IF(Table2[[#This Row],[Counter Number]]="","",Table2[[#This Row],[Reduction Bus HC Emissions (tons/yr)]]/Table2[[#This Row],[Old Bus HC Emissions (tons/yr)]])</f>
        <v/>
      </c>
      <c r="BQ33" s="193" t="str">
        <f>IF(Table2[[#This Row],[Counter Number]]="","",Table2[[#This Row],[Reduction Bus HC Emissions (tons/yr)]]*Table2[[#This Row],[Remaining Life:]])</f>
        <v/>
      </c>
      <c r="BR33" s="194" t="str">
        <f>IF(Table2[[#This Row],[Counter Number]]="","",IF(Table2[[#This Row],[Lifetime HC Reduction (tons)]]=0,"NA",Table2[[#This Row],[Upgrade Cost Per Unit]]/Table2[[#This Row],[Lifetime HC Reduction (tons)]]))</f>
        <v/>
      </c>
      <c r="BS33" s="191" t="str">
        <f>IF(Table2[[#This Row],[Counter Number]]="","",Table2[[#This Row],[Annual Miles Traveled:]]*VLOOKUP(Table2[[#This Row],[Engine Model Year:]],EF!$A$2:$G$27,6,FALSE))</f>
        <v/>
      </c>
      <c r="BT33" s="173" t="str">
        <f>IF(Table2[[#This Row],[Counter Number]]="","",Table2[[#This Row],[Annual Miles Traveled:]]*IF(Table2[[#This Row],[New Engine Fuel Type:]]="ULSD",VLOOKUP(Table2[[#This Row],[New Engine Model Year:]],EFTable[],6,FALSE),VLOOKUP(Table2[[#This Row],[New Engine Fuel Type:]],EFTable[],6,FALSE)))</f>
        <v/>
      </c>
      <c r="BU33" s="190" t="str">
        <f>IF(Table2[[#This Row],[Counter Number]]="","",Table2[[#This Row],[Old Bus CO Emissions (tons/yr)]]-Table2[[#This Row],[New Bus CO Emissions (tons/yr)]])</f>
        <v/>
      </c>
      <c r="BV33" s="188" t="str">
        <f>IF(Table2[[#This Row],[Counter Number]]="","",Table2[[#This Row],[Reduction Bus CO Emissions (tons/yr)]]/Table2[[#This Row],[Old Bus CO Emissions (tons/yr)]])</f>
        <v/>
      </c>
      <c r="BW33" s="193" t="str">
        <f>IF(Table2[[#This Row],[Counter Number]]="","",Table2[[#This Row],[Reduction Bus CO Emissions (tons/yr)]]*Table2[[#This Row],[Remaining Life:]])</f>
        <v/>
      </c>
      <c r="BX33" s="194" t="str">
        <f>IF(Table2[[#This Row],[Counter Number]]="","",IF(Table2[[#This Row],[Lifetime CO Reduction (tons)]]=0,"NA",Table2[[#This Row],[Upgrade Cost Per Unit]]/Table2[[#This Row],[Lifetime CO Reduction (tons)]]))</f>
        <v/>
      </c>
      <c r="BY33" s="180" t="str">
        <f>IF(Table2[[#This Row],[Counter Number]]="","",Table2[[#This Row],[Old ULSD Used (gal):]]*VLOOKUP(Table2[[#This Row],[Engine Model Year:]],EF!$A$2:$G$27,7,FALSE))</f>
        <v/>
      </c>
      <c r="BZ3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3" s="195" t="str">
        <f>IF(Table2[[#This Row],[Counter Number]]="","",Table2[[#This Row],[Old Bus CO2 Emissions (tons/yr)]]-Table2[[#This Row],[New Bus CO2 Emissions (tons/yr)]])</f>
        <v/>
      </c>
      <c r="CB33" s="188" t="str">
        <f>IF(Table2[[#This Row],[Counter Number]]="","",Table2[[#This Row],[Reduction Bus CO2 Emissions (tons/yr)]]/Table2[[#This Row],[Old Bus CO2 Emissions (tons/yr)]])</f>
        <v/>
      </c>
      <c r="CC33" s="195" t="str">
        <f>IF(Table2[[#This Row],[Counter Number]]="","",Table2[[#This Row],[Reduction Bus CO2 Emissions (tons/yr)]]*Table2[[#This Row],[Remaining Life:]])</f>
        <v/>
      </c>
      <c r="CD33" s="194" t="str">
        <f>IF(Table2[[#This Row],[Counter Number]]="","",IF(Table2[[#This Row],[Lifetime CO2 Reduction (tons)]]=0,"NA",Table2[[#This Row],[Upgrade Cost Per Unit]]/Table2[[#This Row],[Lifetime CO2 Reduction (tons)]]))</f>
        <v/>
      </c>
      <c r="CE33" s="182" t="str">
        <f>IF(Table2[[#This Row],[Counter Number]]="","",IF(Table2[[#This Row],[New ULSD Used (gal):]]="",Table2[[#This Row],[Old ULSD Used (gal):]],Table2[[#This Row],[Old ULSD Used (gal):]]-Table2[[#This Row],[New ULSD Used (gal):]]))</f>
        <v/>
      </c>
      <c r="CF33" s="196" t="str">
        <f>IF(Table2[[#This Row],[Counter Number]]="","",Table2[[#This Row],[Diesel Fuel Reduction (gal/yr)]]/Table2[[#This Row],[Old ULSD Used (gal):]])</f>
        <v/>
      </c>
      <c r="CG33" s="197" t="str">
        <f>IF(Table2[[#This Row],[Counter Number]]="","",Table2[[#This Row],[Diesel Fuel Reduction (gal/yr)]]*Table2[[#This Row],[Remaining Life:]])</f>
        <v/>
      </c>
    </row>
    <row r="34" spans="1:85" ht="15.45" customHeight="1">
      <c r="A34" s="184" t="str">
        <f>IF(A33&lt;Application!$D$24,A33+1,"")</f>
        <v/>
      </c>
      <c r="B34" s="60" t="str">
        <f>IF(Table2[[#This Row],[Counter Number]]="","",Application!$D$16)</f>
        <v/>
      </c>
      <c r="C34" s="60" t="str">
        <f>IF(Table2[[#This Row],[Counter Number]]="","",Application!$D$14)</f>
        <v/>
      </c>
      <c r="D34" s="60" t="str">
        <f>IF(Table2[[#This Row],[Counter Number]]="","",Table1[[#This Row],[Old Bus Number]])</f>
        <v/>
      </c>
      <c r="E34" s="60" t="str">
        <f>IF(Table2[[#This Row],[Counter Number]]="","",Application!$D$15)</f>
        <v/>
      </c>
      <c r="F34" s="60" t="str">
        <f>IF(Table2[[#This Row],[Counter Number]]="","","On Highway")</f>
        <v/>
      </c>
      <c r="G34" s="60" t="str">
        <f>IF(Table2[[#This Row],[Counter Number]]="","",I34)</f>
        <v/>
      </c>
      <c r="H34" s="60" t="str">
        <f>IF(Table2[[#This Row],[Counter Number]]="","","Georgia")</f>
        <v/>
      </c>
      <c r="I34" s="60" t="str">
        <f>IF(Table2[[#This Row],[Counter Number]]="","",Application!$D$16)</f>
        <v/>
      </c>
      <c r="J34" s="60" t="str">
        <f>IF(Table2[[#This Row],[Counter Number]]="","",Application!$D$21)</f>
        <v/>
      </c>
      <c r="K34" s="60" t="str">
        <f>IF(Table2[[#This Row],[Counter Number]]="","",Application!$J$21)</f>
        <v/>
      </c>
      <c r="L34" s="60" t="str">
        <f>IF(Table2[[#This Row],[Counter Number]]="","","School Bus")</f>
        <v/>
      </c>
      <c r="M34" s="60" t="str">
        <f>IF(Table2[[#This Row],[Counter Number]]="","","School Bus")</f>
        <v/>
      </c>
      <c r="N34" s="60" t="str">
        <f>IF(Table2[[#This Row],[Counter Number]]="","",1)</f>
        <v/>
      </c>
      <c r="O34" s="60" t="str">
        <f>IF(Table2[[#This Row],[Counter Number]]="","",Table1[[#This Row],[Vehicle Identification Number(s):]])</f>
        <v/>
      </c>
      <c r="P34" s="60" t="str">
        <f>IF(Table2[[#This Row],[Counter Number]]="","",Table1[[#This Row],[Old Bus Manufacturer:]])</f>
        <v/>
      </c>
      <c r="Q34" s="60" t="str">
        <f>IF(Table2[[#This Row],[Counter Number]]="","",Table1[[#This Row],[Vehicle Model:]])</f>
        <v/>
      </c>
      <c r="R34" s="165" t="str">
        <f>IF(Table2[[#This Row],[Counter Number]]="","",Table1[[#This Row],[Vehicle Model Year:]])</f>
        <v/>
      </c>
      <c r="S34" s="60" t="str">
        <f>IF(Table2[[#This Row],[Counter Number]]="","",Table1[[#This Row],[Engine Serial Number(s):]])</f>
        <v/>
      </c>
      <c r="T34" s="60" t="str">
        <f>IF(Table2[[#This Row],[Counter Number]]="","",Table1[[#This Row],[Engine Make:]])</f>
        <v/>
      </c>
      <c r="U34" s="60" t="str">
        <f>IF(Table2[[#This Row],[Counter Number]]="","",Table1[[#This Row],[Engine Model:]])</f>
        <v/>
      </c>
      <c r="V34" s="165" t="str">
        <f>IF(Table2[[#This Row],[Counter Number]]="","",Table1[[#This Row],[Engine Model Year:]])</f>
        <v/>
      </c>
      <c r="W34" s="60" t="str">
        <f>IF(Table2[[#This Row],[Counter Number]]="","","NA")</f>
        <v/>
      </c>
      <c r="X34" s="165" t="str">
        <f>IF(Table2[[#This Row],[Counter Number]]="","",Table1[[#This Row],[Engine Horsepower (HP):]])</f>
        <v/>
      </c>
      <c r="Y34" s="165" t="str">
        <f>IF(Table2[[#This Row],[Counter Number]]="","",Table1[[#This Row],[Engine Cylinder Displacement (L):]]&amp;" L")</f>
        <v/>
      </c>
      <c r="Z34" s="165" t="str">
        <f>IF(Table2[[#This Row],[Counter Number]]="","",Table1[[#This Row],[Engine Number of Cylinders:]])</f>
        <v/>
      </c>
      <c r="AA34" s="166" t="str">
        <f>IF(Table2[[#This Row],[Counter Number]]="","",Table1[[#This Row],[Engine Family Name:]])</f>
        <v/>
      </c>
      <c r="AB34" s="60" t="str">
        <f>IF(Table2[[#This Row],[Counter Number]]="","","ULSD")</f>
        <v/>
      </c>
      <c r="AC34" s="167" t="str">
        <f>IF(Table2[[#This Row],[Counter Number]]="","",Table2[[#This Row],[Annual Miles Traveled:]]/Table1[[#This Row],[Old Fuel (mpg)]])</f>
        <v/>
      </c>
      <c r="AD34" s="60" t="str">
        <f>IF(Table2[[#This Row],[Counter Number]]="","","NA")</f>
        <v/>
      </c>
      <c r="AE34" s="168" t="str">
        <f>IF(Table2[[#This Row],[Counter Number]]="","",Table1[[#This Row],[Annual Miles Traveled]])</f>
        <v/>
      </c>
      <c r="AF34" s="169" t="str">
        <f>IF(Table2[[#This Row],[Counter Number]]="","",Table1[[#This Row],[Annual Idling Hours:]])</f>
        <v/>
      </c>
      <c r="AG34" s="60" t="str">
        <f>IF(Table2[[#This Row],[Counter Number]]="","","NA")</f>
        <v/>
      </c>
      <c r="AH34" s="165" t="str">
        <f>IF(Table2[[#This Row],[Counter Number]]="","",IF(Application!$J$25="Set Policy",Table1[[#This Row],[Remaining Life (years)         Set Policy]],Table1[[#This Row],[Remaining Life (years)               Case-by-Case]]))</f>
        <v/>
      </c>
      <c r="AI34" s="165" t="str">
        <f>IF(Table2[[#This Row],[Counter Number]]="","",IF(Application!$J$25="Case-by-Case","NA",Table2[[#This Row],[Fiscal Year of EPA Funds Used:]]+Table2[[#This Row],[Remaining Life:]]))</f>
        <v/>
      </c>
      <c r="AJ34" s="165"/>
      <c r="AK34" s="170" t="str">
        <f>IF(Table2[[#This Row],[Counter Number]]="","",Application!$D$14+1)</f>
        <v/>
      </c>
      <c r="AL34" s="60" t="str">
        <f>IF(Table2[[#This Row],[Counter Number]]="","","Vehicle Replacement")</f>
        <v/>
      </c>
      <c r="AM3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4" s="171" t="str">
        <f>IF(Table2[[#This Row],[Counter Number]]="","",Table1[[#This Row],[Cost of New Bus:]])</f>
        <v/>
      </c>
      <c r="AO34" s="60" t="str">
        <f>IF(Table2[[#This Row],[Counter Number]]="","","NA")</f>
        <v/>
      </c>
      <c r="AP34" s="165" t="str">
        <f>IF(Table2[[#This Row],[Counter Number]]="","",Table1[[#This Row],[New Engine Model Year:]])</f>
        <v/>
      </c>
      <c r="AQ34" s="60" t="str">
        <f>IF(Table2[[#This Row],[Counter Number]]="","","NA")</f>
        <v/>
      </c>
      <c r="AR34" s="165" t="str">
        <f>IF(Table2[[#This Row],[Counter Number]]="","",Table1[[#This Row],[New Engine Horsepower (HP):]])</f>
        <v/>
      </c>
      <c r="AS34" s="60" t="str">
        <f>IF(Table2[[#This Row],[Counter Number]]="","","NA")</f>
        <v/>
      </c>
      <c r="AT34" s="165" t="str">
        <f>IF(Table2[[#This Row],[Counter Number]]="","",Table1[[#This Row],[New Engine Cylinder Displacement (L):]]&amp;" L")</f>
        <v/>
      </c>
      <c r="AU34" s="114" t="str">
        <f>IF(Table2[[#This Row],[Counter Number]]="","",Table1[[#This Row],[New Engine Number of Cylinders:]])</f>
        <v/>
      </c>
      <c r="AV34" s="60" t="str">
        <f>IF(Table2[[#This Row],[Counter Number]]="","",Table1[[#This Row],[New Engine Family Name:]])</f>
        <v/>
      </c>
      <c r="AW3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4" s="60" t="str">
        <f>IF(Table2[[#This Row],[Counter Number]]="","","NA")</f>
        <v/>
      </c>
      <c r="AY34" s="172" t="str">
        <f>IF(Table2[[#This Row],[Counter Number]]="","",IF(Table2[[#This Row],[New Engine Fuel Type:]]="ULSD",Table1[[#This Row],[Annual Miles Traveled]]/Table1[[#This Row],[New Fuel (mpg) if Diesel]],""))</f>
        <v/>
      </c>
      <c r="AZ34" s="60"/>
      <c r="BA34" s="173" t="str">
        <f>IF(Table2[[#This Row],[Counter Number]]="","",Table2[[#This Row],[Annual Miles Traveled:]]*VLOOKUP(Table2[[#This Row],[Engine Model Year:]],EFTable[],3,FALSE))</f>
        <v/>
      </c>
      <c r="BB34" s="173" t="str">
        <f>IF(Table2[[#This Row],[Counter Number]]="","",Table2[[#This Row],[Annual Miles Traveled:]]*IF(Table2[[#This Row],[New Engine Fuel Type:]]="ULSD",VLOOKUP(Table2[[#This Row],[New Engine Model Year:]],EFTable[],3,FALSE),VLOOKUP(Table2[[#This Row],[New Engine Fuel Type:]],EFTable[],3,FALSE)))</f>
        <v/>
      </c>
      <c r="BC34" s="187" t="str">
        <f>IF(Table2[[#This Row],[Counter Number]]="","",Table2[[#This Row],[Old Bus NOx Emissions (tons/yr)]]-Table2[[#This Row],[New Bus NOx Emissions (tons/yr)]])</f>
        <v/>
      </c>
      <c r="BD34" s="188" t="str">
        <f>IF(Table2[[#This Row],[Counter Number]]="","",Table2[[#This Row],[Reduction Bus NOx Emissions (tons/yr)]]/Table2[[#This Row],[Old Bus NOx Emissions (tons/yr)]])</f>
        <v/>
      </c>
      <c r="BE34" s="175" t="str">
        <f>IF(Table2[[#This Row],[Counter Number]]="","",Table2[[#This Row],[Reduction Bus NOx Emissions (tons/yr)]]*Table2[[#This Row],[Remaining Life:]])</f>
        <v/>
      </c>
      <c r="BF34" s="189" t="str">
        <f>IF(Table2[[#This Row],[Counter Number]]="","",IF(Table2[[#This Row],[Lifetime NOx Reduction (tons)]]=0,"NA",Table2[[#This Row],[Upgrade Cost Per Unit]]/Table2[[#This Row],[Lifetime NOx Reduction (tons)]]))</f>
        <v/>
      </c>
      <c r="BG34" s="190" t="str">
        <f>IF(Table2[[#This Row],[Counter Number]]="","",Table2[[#This Row],[Annual Miles Traveled:]]*VLOOKUP(Table2[[#This Row],[Engine Model Year:]],EF!$A$2:$G$27,4,FALSE))</f>
        <v/>
      </c>
      <c r="BH34" s="173" t="str">
        <f>IF(Table2[[#This Row],[Counter Number]]="","",Table2[[#This Row],[Annual Miles Traveled:]]*IF(Table2[[#This Row],[New Engine Fuel Type:]]="ULSD",VLOOKUP(Table2[[#This Row],[New Engine Model Year:]],EFTable[],4,FALSE),VLOOKUP(Table2[[#This Row],[New Engine Fuel Type:]],EFTable[],4,FALSE)))</f>
        <v/>
      </c>
      <c r="BI34" s="191" t="str">
        <f>IF(Table2[[#This Row],[Counter Number]]="","",Table2[[#This Row],[Old Bus PM2.5 Emissions (tons/yr)]]-Table2[[#This Row],[New Bus PM2.5 Emissions (tons/yr)]])</f>
        <v/>
      </c>
      <c r="BJ34" s="192" t="str">
        <f>IF(Table2[[#This Row],[Counter Number]]="","",Table2[[#This Row],[Reduction Bus PM2.5 Emissions (tons/yr)]]/Table2[[#This Row],[Old Bus PM2.5 Emissions (tons/yr)]])</f>
        <v/>
      </c>
      <c r="BK34" s="193" t="str">
        <f>IF(Table2[[#This Row],[Counter Number]]="","",Table2[[#This Row],[Reduction Bus PM2.5 Emissions (tons/yr)]]*Table2[[#This Row],[Remaining Life:]])</f>
        <v/>
      </c>
      <c r="BL34" s="194" t="str">
        <f>IF(Table2[[#This Row],[Counter Number]]="","",IF(Table2[[#This Row],[Lifetime PM2.5 Reduction (tons)]]=0,"NA",Table2[[#This Row],[Upgrade Cost Per Unit]]/Table2[[#This Row],[Lifetime PM2.5 Reduction (tons)]]))</f>
        <v/>
      </c>
      <c r="BM34" s="179" t="str">
        <f>IF(Table2[[#This Row],[Counter Number]]="","",Table2[[#This Row],[Annual Miles Traveled:]]*VLOOKUP(Table2[[#This Row],[Engine Model Year:]],EF!$A$2:$G$40,5,FALSE))</f>
        <v/>
      </c>
      <c r="BN34" s="173" t="str">
        <f>IF(Table2[[#This Row],[Counter Number]]="","",Table2[[#This Row],[Annual Miles Traveled:]]*IF(Table2[[#This Row],[New Engine Fuel Type:]]="ULSD",VLOOKUP(Table2[[#This Row],[New Engine Model Year:]],EFTable[],5,FALSE),VLOOKUP(Table2[[#This Row],[New Engine Fuel Type:]],EFTable[],5,FALSE)))</f>
        <v/>
      </c>
      <c r="BO34" s="190" t="str">
        <f>IF(Table2[[#This Row],[Counter Number]]="","",Table2[[#This Row],[Old Bus HC Emissions (tons/yr)]]-Table2[[#This Row],[New Bus HC Emissions (tons/yr)]])</f>
        <v/>
      </c>
      <c r="BP34" s="188" t="str">
        <f>IF(Table2[[#This Row],[Counter Number]]="","",Table2[[#This Row],[Reduction Bus HC Emissions (tons/yr)]]/Table2[[#This Row],[Old Bus HC Emissions (tons/yr)]])</f>
        <v/>
      </c>
      <c r="BQ34" s="193" t="str">
        <f>IF(Table2[[#This Row],[Counter Number]]="","",Table2[[#This Row],[Reduction Bus HC Emissions (tons/yr)]]*Table2[[#This Row],[Remaining Life:]])</f>
        <v/>
      </c>
      <c r="BR34" s="194" t="str">
        <f>IF(Table2[[#This Row],[Counter Number]]="","",IF(Table2[[#This Row],[Lifetime HC Reduction (tons)]]=0,"NA",Table2[[#This Row],[Upgrade Cost Per Unit]]/Table2[[#This Row],[Lifetime HC Reduction (tons)]]))</f>
        <v/>
      </c>
      <c r="BS34" s="191" t="str">
        <f>IF(Table2[[#This Row],[Counter Number]]="","",Table2[[#This Row],[Annual Miles Traveled:]]*VLOOKUP(Table2[[#This Row],[Engine Model Year:]],EF!$A$2:$G$27,6,FALSE))</f>
        <v/>
      </c>
      <c r="BT34" s="173" t="str">
        <f>IF(Table2[[#This Row],[Counter Number]]="","",Table2[[#This Row],[Annual Miles Traveled:]]*IF(Table2[[#This Row],[New Engine Fuel Type:]]="ULSD",VLOOKUP(Table2[[#This Row],[New Engine Model Year:]],EFTable[],6,FALSE),VLOOKUP(Table2[[#This Row],[New Engine Fuel Type:]],EFTable[],6,FALSE)))</f>
        <v/>
      </c>
      <c r="BU34" s="190" t="str">
        <f>IF(Table2[[#This Row],[Counter Number]]="","",Table2[[#This Row],[Old Bus CO Emissions (tons/yr)]]-Table2[[#This Row],[New Bus CO Emissions (tons/yr)]])</f>
        <v/>
      </c>
      <c r="BV34" s="188" t="str">
        <f>IF(Table2[[#This Row],[Counter Number]]="","",Table2[[#This Row],[Reduction Bus CO Emissions (tons/yr)]]/Table2[[#This Row],[Old Bus CO Emissions (tons/yr)]])</f>
        <v/>
      </c>
      <c r="BW34" s="193" t="str">
        <f>IF(Table2[[#This Row],[Counter Number]]="","",Table2[[#This Row],[Reduction Bus CO Emissions (tons/yr)]]*Table2[[#This Row],[Remaining Life:]])</f>
        <v/>
      </c>
      <c r="BX34" s="194" t="str">
        <f>IF(Table2[[#This Row],[Counter Number]]="","",IF(Table2[[#This Row],[Lifetime CO Reduction (tons)]]=0,"NA",Table2[[#This Row],[Upgrade Cost Per Unit]]/Table2[[#This Row],[Lifetime CO Reduction (tons)]]))</f>
        <v/>
      </c>
      <c r="BY34" s="180" t="str">
        <f>IF(Table2[[#This Row],[Counter Number]]="","",Table2[[#This Row],[Old ULSD Used (gal):]]*VLOOKUP(Table2[[#This Row],[Engine Model Year:]],EF!$A$2:$G$27,7,FALSE))</f>
        <v/>
      </c>
      <c r="BZ3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4" s="195" t="str">
        <f>IF(Table2[[#This Row],[Counter Number]]="","",Table2[[#This Row],[Old Bus CO2 Emissions (tons/yr)]]-Table2[[#This Row],[New Bus CO2 Emissions (tons/yr)]])</f>
        <v/>
      </c>
      <c r="CB34" s="188" t="str">
        <f>IF(Table2[[#This Row],[Counter Number]]="","",Table2[[#This Row],[Reduction Bus CO2 Emissions (tons/yr)]]/Table2[[#This Row],[Old Bus CO2 Emissions (tons/yr)]])</f>
        <v/>
      </c>
      <c r="CC34" s="195" t="str">
        <f>IF(Table2[[#This Row],[Counter Number]]="","",Table2[[#This Row],[Reduction Bus CO2 Emissions (tons/yr)]]*Table2[[#This Row],[Remaining Life:]])</f>
        <v/>
      </c>
      <c r="CD34" s="194" t="str">
        <f>IF(Table2[[#This Row],[Counter Number]]="","",IF(Table2[[#This Row],[Lifetime CO2 Reduction (tons)]]=0,"NA",Table2[[#This Row],[Upgrade Cost Per Unit]]/Table2[[#This Row],[Lifetime CO2 Reduction (tons)]]))</f>
        <v/>
      </c>
      <c r="CE34" s="182" t="str">
        <f>IF(Table2[[#This Row],[Counter Number]]="","",IF(Table2[[#This Row],[New ULSD Used (gal):]]="",Table2[[#This Row],[Old ULSD Used (gal):]],Table2[[#This Row],[Old ULSD Used (gal):]]-Table2[[#This Row],[New ULSD Used (gal):]]))</f>
        <v/>
      </c>
      <c r="CF34" s="196" t="str">
        <f>IF(Table2[[#This Row],[Counter Number]]="","",Table2[[#This Row],[Diesel Fuel Reduction (gal/yr)]]/Table2[[#This Row],[Old ULSD Used (gal):]])</f>
        <v/>
      </c>
      <c r="CG34" s="197" t="str">
        <f>IF(Table2[[#This Row],[Counter Number]]="","",Table2[[#This Row],[Diesel Fuel Reduction (gal/yr)]]*Table2[[#This Row],[Remaining Life:]])</f>
        <v/>
      </c>
    </row>
    <row r="35" spans="1:85" ht="15.45" customHeight="1">
      <c r="A35" s="184" t="str">
        <f>IF(A34&lt;Application!$D$24,A34+1,"")</f>
        <v/>
      </c>
      <c r="B35" s="60" t="str">
        <f>IF(Table2[[#This Row],[Counter Number]]="","",Application!$D$16)</f>
        <v/>
      </c>
      <c r="C35" s="60" t="str">
        <f>IF(Table2[[#This Row],[Counter Number]]="","",Application!$D$14)</f>
        <v/>
      </c>
      <c r="D35" s="60" t="str">
        <f>IF(Table2[[#This Row],[Counter Number]]="","",Table1[[#This Row],[Old Bus Number]])</f>
        <v/>
      </c>
      <c r="E35" s="60" t="str">
        <f>IF(Table2[[#This Row],[Counter Number]]="","",Application!$D$15)</f>
        <v/>
      </c>
      <c r="F35" s="60" t="str">
        <f>IF(Table2[[#This Row],[Counter Number]]="","","On Highway")</f>
        <v/>
      </c>
      <c r="G35" s="60" t="str">
        <f>IF(Table2[[#This Row],[Counter Number]]="","",I35)</f>
        <v/>
      </c>
      <c r="H35" s="60" t="str">
        <f>IF(Table2[[#This Row],[Counter Number]]="","","Georgia")</f>
        <v/>
      </c>
      <c r="I35" s="60" t="str">
        <f>IF(Table2[[#This Row],[Counter Number]]="","",Application!$D$16)</f>
        <v/>
      </c>
      <c r="J35" s="60" t="str">
        <f>IF(Table2[[#This Row],[Counter Number]]="","",Application!$D$21)</f>
        <v/>
      </c>
      <c r="K35" s="60" t="str">
        <f>IF(Table2[[#This Row],[Counter Number]]="","",Application!$J$21)</f>
        <v/>
      </c>
      <c r="L35" s="60" t="str">
        <f>IF(Table2[[#This Row],[Counter Number]]="","","School Bus")</f>
        <v/>
      </c>
      <c r="M35" s="60" t="str">
        <f>IF(Table2[[#This Row],[Counter Number]]="","","School Bus")</f>
        <v/>
      </c>
      <c r="N35" s="60" t="str">
        <f>IF(Table2[[#This Row],[Counter Number]]="","",1)</f>
        <v/>
      </c>
      <c r="O35" s="60" t="str">
        <f>IF(Table2[[#This Row],[Counter Number]]="","",Table1[[#This Row],[Vehicle Identification Number(s):]])</f>
        <v/>
      </c>
      <c r="P35" s="60" t="str">
        <f>IF(Table2[[#This Row],[Counter Number]]="","",Table1[[#This Row],[Old Bus Manufacturer:]])</f>
        <v/>
      </c>
      <c r="Q35" s="60" t="str">
        <f>IF(Table2[[#This Row],[Counter Number]]="","",Table1[[#This Row],[Vehicle Model:]])</f>
        <v/>
      </c>
      <c r="R35" s="165" t="str">
        <f>IF(Table2[[#This Row],[Counter Number]]="","",Table1[[#This Row],[Vehicle Model Year:]])</f>
        <v/>
      </c>
      <c r="S35" s="60" t="str">
        <f>IF(Table2[[#This Row],[Counter Number]]="","",Table1[[#This Row],[Engine Serial Number(s):]])</f>
        <v/>
      </c>
      <c r="T35" s="60" t="str">
        <f>IF(Table2[[#This Row],[Counter Number]]="","",Table1[[#This Row],[Engine Make:]])</f>
        <v/>
      </c>
      <c r="U35" s="60" t="str">
        <f>IF(Table2[[#This Row],[Counter Number]]="","",Table1[[#This Row],[Engine Model:]])</f>
        <v/>
      </c>
      <c r="V35" s="165" t="str">
        <f>IF(Table2[[#This Row],[Counter Number]]="","",Table1[[#This Row],[Engine Model Year:]])</f>
        <v/>
      </c>
      <c r="W35" s="60" t="str">
        <f>IF(Table2[[#This Row],[Counter Number]]="","","NA")</f>
        <v/>
      </c>
      <c r="X35" s="165" t="str">
        <f>IF(Table2[[#This Row],[Counter Number]]="","",Table1[[#This Row],[Engine Horsepower (HP):]])</f>
        <v/>
      </c>
      <c r="Y35" s="165" t="str">
        <f>IF(Table2[[#This Row],[Counter Number]]="","",Table1[[#This Row],[Engine Cylinder Displacement (L):]]&amp;" L")</f>
        <v/>
      </c>
      <c r="Z35" s="165" t="str">
        <f>IF(Table2[[#This Row],[Counter Number]]="","",Table1[[#This Row],[Engine Number of Cylinders:]])</f>
        <v/>
      </c>
      <c r="AA35" s="166" t="str">
        <f>IF(Table2[[#This Row],[Counter Number]]="","",Table1[[#This Row],[Engine Family Name:]])</f>
        <v/>
      </c>
      <c r="AB35" s="60" t="str">
        <f>IF(Table2[[#This Row],[Counter Number]]="","","ULSD")</f>
        <v/>
      </c>
      <c r="AC35" s="167" t="str">
        <f>IF(Table2[[#This Row],[Counter Number]]="","",Table2[[#This Row],[Annual Miles Traveled:]]/Table1[[#This Row],[Old Fuel (mpg)]])</f>
        <v/>
      </c>
      <c r="AD35" s="60" t="str">
        <f>IF(Table2[[#This Row],[Counter Number]]="","","NA")</f>
        <v/>
      </c>
      <c r="AE35" s="168" t="str">
        <f>IF(Table2[[#This Row],[Counter Number]]="","",Table1[[#This Row],[Annual Miles Traveled]])</f>
        <v/>
      </c>
      <c r="AF35" s="169" t="str">
        <f>IF(Table2[[#This Row],[Counter Number]]="","",Table1[[#This Row],[Annual Idling Hours:]])</f>
        <v/>
      </c>
      <c r="AG35" s="60" t="str">
        <f>IF(Table2[[#This Row],[Counter Number]]="","","NA")</f>
        <v/>
      </c>
      <c r="AH35" s="165" t="str">
        <f>IF(Table2[[#This Row],[Counter Number]]="","",IF(Application!$J$25="Set Policy",Table1[[#This Row],[Remaining Life (years)         Set Policy]],Table1[[#This Row],[Remaining Life (years)               Case-by-Case]]))</f>
        <v/>
      </c>
      <c r="AI35" s="165" t="str">
        <f>IF(Table2[[#This Row],[Counter Number]]="","",IF(Application!$J$25="Case-by-Case","NA",Table2[[#This Row],[Fiscal Year of EPA Funds Used:]]+Table2[[#This Row],[Remaining Life:]]))</f>
        <v/>
      </c>
      <c r="AJ35" s="165"/>
      <c r="AK35" s="170" t="str">
        <f>IF(Table2[[#This Row],[Counter Number]]="","",Application!$D$14+1)</f>
        <v/>
      </c>
      <c r="AL35" s="60" t="str">
        <f>IF(Table2[[#This Row],[Counter Number]]="","","Vehicle Replacement")</f>
        <v/>
      </c>
      <c r="AM3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5" s="171" t="str">
        <f>IF(Table2[[#This Row],[Counter Number]]="","",Table1[[#This Row],[Cost of New Bus:]])</f>
        <v/>
      </c>
      <c r="AO35" s="60" t="str">
        <f>IF(Table2[[#This Row],[Counter Number]]="","","NA")</f>
        <v/>
      </c>
      <c r="AP35" s="165" t="str">
        <f>IF(Table2[[#This Row],[Counter Number]]="","",Table1[[#This Row],[New Engine Model Year:]])</f>
        <v/>
      </c>
      <c r="AQ35" s="60" t="str">
        <f>IF(Table2[[#This Row],[Counter Number]]="","","NA")</f>
        <v/>
      </c>
      <c r="AR35" s="165" t="str">
        <f>IF(Table2[[#This Row],[Counter Number]]="","",Table1[[#This Row],[New Engine Horsepower (HP):]])</f>
        <v/>
      </c>
      <c r="AS35" s="60" t="str">
        <f>IF(Table2[[#This Row],[Counter Number]]="","","NA")</f>
        <v/>
      </c>
      <c r="AT35" s="165" t="str">
        <f>IF(Table2[[#This Row],[Counter Number]]="","",Table1[[#This Row],[New Engine Cylinder Displacement (L):]]&amp;" L")</f>
        <v/>
      </c>
      <c r="AU35" s="114" t="str">
        <f>IF(Table2[[#This Row],[Counter Number]]="","",Table1[[#This Row],[New Engine Number of Cylinders:]])</f>
        <v/>
      </c>
      <c r="AV35" s="60" t="str">
        <f>IF(Table2[[#This Row],[Counter Number]]="","",Table1[[#This Row],[New Engine Family Name:]])</f>
        <v/>
      </c>
      <c r="AW3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5" s="60" t="str">
        <f>IF(Table2[[#This Row],[Counter Number]]="","","NA")</f>
        <v/>
      </c>
      <c r="AY35" s="172" t="str">
        <f>IF(Table2[[#This Row],[Counter Number]]="","",IF(Table2[[#This Row],[New Engine Fuel Type:]]="ULSD",Table1[[#This Row],[Annual Miles Traveled]]/Table1[[#This Row],[New Fuel (mpg) if Diesel]],""))</f>
        <v/>
      </c>
      <c r="AZ35" s="60"/>
      <c r="BA35" s="173" t="str">
        <f>IF(Table2[[#This Row],[Counter Number]]="","",Table2[[#This Row],[Annual Miles Traveled:]]*VLOOKUP(Table2[[#This Row],[Engine Model Year:]],EFTable[],3,FALSE))</f>
        <v/>
      </c>
      <c r="BB35" s="173" t="str">
        <f>IF(Table2[[#This Row],[Counter Number]]="","",Table2[[#This Row],[Annual Miles Traveled:]]*IF(Table2[[#This Row],[New Engine Fuel Type:]]="ULSD",VLOOKUP(Table2[[#This Row],[New Engine Model Year:]],EFTable[],3,FALSE),VLOOKUP(Table2[[#This Row],[New Engine Fuel Type:]],EFTable[],3,FALSE)))</f>
        <v/>
      </c>
      <c r="BC35" s="187" t="str">
        <f>IF(Table2[[#This Row],[Counter Number]]="","",Table2[[#This Row],[Old Bus NOx Emissions (tons/yr)]]-Table2[[#This Row],[New Bus NOx Emissions (tons/yr)]])</f>
        <v/>
      </c>
      <c r="BD35" s="188" t="str">
        <f>IF(Table2[[#This Row],[Counter Number]]="","",Table2[[#This Row],[Reduction Bus NOx Emissions (tons/yr)]]/Table2[[#This Row],[Old Bus NOx Emissions (tons/yr)]])</f>
        <v/>
      </c>
      <c r="BE35" s="175" t="str">
        <f>IF(Table2[[#This Row],[Counter Number]]="","",Table2[[#This Row],[Reduction Bus NOx Emissions (tons/yr)]]*Table2[[#This Row],[Remaining Life:]])</f>
        <v/>
      </c>
      <c r="BF35" s="189" t="str">
        <f>IF(Table2[[#This Row],[Counter Number]]="","",IF(Table2[[#This Row],[Lifetime NOx Reduction (tons)]]=0,"NA",Table2[[#This Row],[Upgrade Cost Per Unit]]/Table2[[#This Row],[Lifetime NOx Reduction (tons)]]))</f>
        <v/>
      </c>
      <c r="BG35" s="190" t="str">
        <f>IF(Table2[[#This Row],[Counter Number]]="","",Table2[[#This Row],[Annual Miles Traveled:]]*VLOOKUP(Table2[[#This Row],[Engine Model Year:]],EF!$A$2:$G$27,4,FALSE))</f>
        <v/>
      </c>
      <c r="BH35" s="173" t="str">
        <f>IF(Table2[[#This Row],[Counter Number]]="","",Table2[[#This Row],[Annual Miles Traveled:]]*IF(Table2[[#This Row],[New Engine Fuel Type:]]="ULSD",VLOOKUP(Table2[[#This Row],[New Engine Model Year:]],EFTable[],4,FALSE),VLOOKUP(Table2[[#This Row],[New Engine Fuel Type:]],EFTable[],4,FALSE)))</f>
        <v/>
      </c>
      <c r="BI35" s="191" t="str">
        <f>IF(Table2[[#This Row],[Counter Number]]="","",Table2[[#This Row],[Old Bus PM2.5 Emissions (tons/yr)]]-Table2[[#This Row],[New Bus PM2.5 Emissions (tons/yr)]])</f>
        <v/>
      </c>
      <c r="BJ35" s="192" t="str">
        <f>IF(Table2[[#This Row],[Counter Number]]="","",Table2[[#This Row],[Reduction Bus PM2.5 Emissions (tons/yr)]]/Table2[[#This Row],[Old Bus PM2.5 Emissions (tons/yr)]])</f>
        <v/>
      </c>
      <c r="BK35" s="193" t="str">
        <f>IF(Table2[[#This Row],[Counter Number]]="","",Table2[[#This Row],[Reduction Bus PM2.5 Emissions (tons/yr)]]*Table2[[#This Row],[Remaining Life:]])</f>
        <v/>
      </c>
      <c r="BL35" s="194" t="str">
        <f>IF(Table2[[#This Row],[Counter Number]]="","",IF(Table2[[#This Row],[Lifetime PM2.5 Reduction (tons)]]=0,"NA",Table2[[#This Row],[Upgrade Cost Per Unit]]/Table2[[#This Row],[Lifetime PM2.5 Reduction (tons)]]))</f>
        <v/>
      </c>
      <c r="BM35" s="179" t="str">
        <f>IF(Table2[[#This Row],[Counter Number]]="","",Table2[[#This Row],[Annual Miles Traveled:]]*VLOOKUP(Table2[[#This Row],[Engine Model Year:]],EF!$A$2:$G$40,5,FALSE))</f>
        <v/>
      </c>
      <c r="BN35" s="173" t="str">
        <f>IF(Table2[[#This Row],[Counter Number]]="","",Table2[[#This Row],[Annual Miles Traveled:]]*IF(Table2[[#This Row],[New Engine Fuel Type:]]="ULSD",VLOOKUP(Table2[[#This Row],[New Engine Model Year:]],EFTable[],5,FALSE),VLOOKUP(Table2[[#This Row],[New Engine Fuel Type:]],EFTable[],5,FALSE)))</f>
        <v/>
      </c>
      <c r="BO35" s="190" t="str">
        <f>IF(Table2[[#This Row],[Counter Number]]="","",Table2[[#This Row],[Old Bus HC Emissions (tons/yr)]]-Table2[[#This Row],[New Bus HC Emissions (tons/yr)]])</f>
        <v/>
      </c>
      <c r="BP35" s="188" t="str">
        <f>IF(Table2[[#This Row],[Counter Number]]="","",Table2[[#This Row],[Reduction Bus HC Emissions (tons/yr)]]/Table2[[#This Row],[Old Bus HC Emissions (tons/yr)]])</f>
        <v/>
      </c>
      <c r="BQ35" s="193" t="str">
        <f>IF(Table2[[#This Row],[Counter Number]]="","",Table2[[#This Row],[Reduction Bus HC Emissions (tons/yr)]]*Table2[[#This Row],[Remaining Life:]])</f>
        <v/>
      </c>
      <c r="BR35" s="194" t="str">
        <f>IF(Table2[[#This Row],[Counter Number]]="","",IF(Table2[[#This Row],[Lifetime HC Reduction (tons)]]=0,"NA",Table2[[#This Row],[Upgrade Cost Per Unit]]/Table2[[#This Row],[Lifetime HC Reduction (tons)]]))</f>
        <v/>
      </c>
      <c r="BS35" s="191" t="str">
        <f>IF(Table2[[#This Row],[Counter Number]]="","",Table2[[#This Row],[Annual Miles Traveled:]]*VLOOKUP(Table2[[#This Row],[Engine Model Year:]],EF!$A$2:$G$27,6,FALSE))</f>
        <v/>
      </c>
      <c r="BT35" s="173" t="str">
        <f>IF(Table2[[#This Row],[Counter Number]]="","",Table2[[#This Row],[Annual Miles Traveled:]]*IF(Table2[[#This Row],[New Engine Fuel Type:]]="ULSD",VLOOKUP(Table2[[#This Row],[New Engine Model Year:]],EFTable[],6,FALSE),VLOOKUP(Table2[[#This Row],[New Engine Fuel Type:]],EFTable[],6,FALSE)))</f>
        <v/>
      </c>
      <c r="BU35" s="190" t="str">
        <f>IF(Table2[[#This Row],[Counter Number]]="","",Table2[[#This Row],[Old Bus CO Emissions (tons/yr)]]-Table2[[#This Row],[New Bus CO Emissions (tons/yr)]])</f>
        <v/>
      </c>
      <c r="BV35" s="188" t="str">
        <f>IF(Table2[[#This Row],[Counter Number]]="","",Table2[[#This Row],[Reduction Bus CO Emissions (tons/yr)]]/Table2[[#This Row],[Old Bus CO Emissions (tons/yr)]])</f>
        <v/>
      </c>
      <c r="BW35" s="193" t="str">
        <f>IF(Table2[[#This Row],[Counter Number]]="","",Table2[[#This Row],[Reduction Bus CO Emissions (tons/yr)]]*Table2[[#This Row],[Remaining Life:]])</f>
        <v/>
      </c>
      <c r="BX35" s="194" t="str">
        <f>IF(Table2[[#This Row],[Counter Number]]="","",IF(Table2[[#This Row],[Lifetime CO Reduction (tons)]]=0,"NA",Table2[[#This Row],[Upgrade Cost Per Unit]]/Table2[[#This Row],[Lifetime CO Reduction (tons)]]))</f>
        <v/>
      </c>
      <c r="BY35" s="180" t="str">
        <f>IF(Table2[[#This Row],[Counter Number]]="","",Table2[[#This Row],[Old ULSD Used (gal):]]*VLOOKUP(Table2[[#This Row],[Engine Model Year:]],EF!$A$2:$G$27,7,FALSE))</f>
        <v/>
      </c>
      <c r="BZ3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5" s="195" t="str">
        <f>IF(Table2[[#This Row],[Counter Number]]="","",Table2[[#This Row],[Old Bus CO2 Emissions (tons/yr)]]-Table2[[#This Row],[New Bus CO2 Emissions (tons/yr)]])</f>
        <v/>
      </c>
      <c r="CB35" s="188" t="str">
        <f>IF(Table2[[#This Row],[Counter Number]]="","",Table2[[#This Row],[Reduction Bus CO2 Emissions (tons/yr)]]/Table2[[#This Row],[Old Bus CO2 Emissions (tons/yr)]])</f>
        <v/>
      </c>
      <c r="CC35" s="195" t="str">
        <f>IF(Table2[[#This Row],[Counter Number]]="","",Table2[[#This Row],[Reduction Bus CO2 Emissions (tons/yr)]]*Table2[[#This Row],[Remaining Life:]])</f>
        <v/>
      </c>
      <c r="CD35" s="194" t="str">
        <f>IF(Table2[[#This Row],[Counter Number]]="","",IF(Table2[[#This Row],[Lifetime CO2 Reduction (tons)]]=0,"NA",Table2[[#This Row],[Upgrade Cost Per Unit]]/Table2[[#This Row],[Lifetime CO2 Reduction (tons)]]))</f>
        <v/>
      </c>
      <c r="CE35" s="182" t="str">
        <f>IF(Table2[[#This Row],[Counter Number]]="","",IF(Table2[[#This Row],[New ULSD Used (gal):]]="",Table2[[#This Row],[Old ULSD Used (gal):]],Table2[[#This Row],[Old ULSD Used (gal):]]-Table2[[#This Row],[New ULSD Used (gal):]]))</f>
        <v/>
      </c>
      <c r="CF35" s="196" t="str">
        <f>IF(Table2[[#This Row],[Counter Number]]="","",Table2[[#This Row],[Diesel Fuel Reduction (gal/yr)]]/Table2[[#This Row],[Old ULSD Used (gal):]])</f>
        <v/>
      </c>
      <c r="CG35" s="197" t="str">
        <f>IF(Table2[[#This Row],[Counter Number]]="","",Table2[[#This Row],[Diesel Fuel Reduction (gal/yr)]]*Table2[[#This Row],[Remaining Life:]])</f>
        <v/>
      </c>
    </row>
    <row r="36" spans="1:85" ht="15.45" customHeight="1">
      <c r="A36" s="184" t="str">
        <f>IF(A35&lt;Application!$D$24,A35+1,"")</f>
        <v/>
      </c>
      <c r="B36" s="60" t="str">
        <f>IF(Table2[[#This Row],[Counter Number]]="","",Application!$D$16)</f>
        <v/>
      </c>
      <c r="C36" s="60" t="str">
        <f>IF(Table2[[#This Row],[Counter Number]]="","",Application!$D$14)</f>
        <v/>
      </c>
      <c r="D36" s="60" t="str">
        <f>IF(Table2[[#This Row],[Counter Number]]="","",Table1[[#This Row],[Old Bus Number]])</f>
        <v/>
      </c>
      <c r="E36" s="60" t="str">
        <f>IF(Table2[[#This Row],[Counter Number]]="","",Application!$D$15)</f>
        <v/>
      </c>
      <c r="F36" s="60" t="str">
        <f>IF(Table2[[#This Row],[Counter Number]]="","","On Highway")</f>
        <v/>
      </c>
      <c r="G36" s="60" t="str">
        <f>IF(Table2[[#This Row],[Counter Number]]="","",I36)</f>
        <v/>
      </c>
      <c r="H36" s="60" t="str">
        <f>IF(Table2[[#This Row],[Counter Number]]="","","Georgia")</f>
        <v/>
      </c>
      <c r="I36" s="60" t="str">
        <f>IF(Table2[[#This Row],[Counter Number]]="","",Application!$D$16)</f>
        <v/>
      </c>
      <c r="J36" s="60" t="str">
        <f>IF(Table2[[#This Row],[Counter Number]]="","",Application!$D$21)</f>
        <v/>
      </c>
      <c r="K36" s="60" t="str">
        <f>IF(Table2[[#This Row],[Counter Number]]="","",Application!$J$21)</f>
        <v/>
      </c>
      <c r="L36" s="60" t="str">
        <f>IF(Table2[[#This Row],[Counter Number]]="","","School Bus")</f>
        <v/>
      </c>
      <c r="M36" s="60" t="str">
        <f>IF(Table2[[#This Row],[Counter Number]]="","","School Bus")</f>
        <v/>
      </c>
      <c r="N36" s="60" t="str">
        <f>IF(Table2[[#This Row],[Counter Number]]="","",1)</f>
        <v/>
      </c>
      <c r="O36" s="60" t="str">
        <f>IF(Table2[[#This Row],[Counter Number]]="","",Table1[[#This Row],[Vehicle Identification Number(s):]])</f>
        <v/>
      </c>
      <c r="P36" s="60" t="str">
        <f>IF(Table2[[#This Row],[Counter Number]]="","",Table1[[#This Row],[Old Bus Manufacturer:]])</f>
        <v/>
      </c>
      <c r="Q36" s="60" t="str">
        <f>IF(Table2[[#This Row],[Counter Number]]="","",Table1[[#This Row],[Vehicle Model:]])</f>
        <v/>
      </c>
      <c r="R36" s="165" t="str">
        <f>IF(Table2[[#This Row],[Counter Number]]="","",Table1[[#This Row],[Vehicle Model Year:]])</f>
        <v/>
      </c>
      <c r="S36" s="60" t="str">
        <f>IF(Table2[[#This Row],[Counter Number]]="","",Table1[[#This Row],[Engine Serial Number(s):]])</f>
        <v/>
      </c>
      <c r="T36" s="60" t="str">
        <f>IF(Table2[[#This Row],[Counter Number]]="","",Table1[[#This Row],[Engine Make:]])</f>
        <v/>
      </c>
      <c r="U36" s="60" t="str">
        <f>IF(Table2[[#This Row],[Counter Number]]="","",Table1[[#This Row],[Engine Model:]])</f>
        <v/>
      </c>
      <c r="V36" s="165" t="str">
        <f>IF(Table2[[#This Row],[Counter Number]]="","",Table1[[#This Row],[Engine Model Year:]])</f>
        <v/>
      </c>
      <c r="W36" s="60" t="str">
        <f>IF(Table2[[#This Row],[Counter Number]]="","","NA")</f>
        <v/>
      </c>
      <c r="X36" s="165" t="str">
        <f>IF(Table2[[#This Row],[Counter Number]]="","",Table1[[#This Row],[Engine Horsepower (HP):]])</f>
        <v/>
      </c>
      <c r="Y36" s="165" t="str">
        <f>IF(Table2[[#This Row],[Counter Number]]="","",Table1[[#This Row],[Engine Cylinder Displacement (L):]]&amp;" L")</f>
        <v/>
      </c>
      <c r="Z36" s="165" t="str">
        <f>IF(Table2[[#This Row],[Counter Number]]="","",Table1[[#This Row],[Engine Number of Cylinders:]])</f>
        <v/>
      </c>
      <c r="AA36" s="166" t="str">
        <f>IF(Table2[[#This Row],[Counter Number]]="","",Table1[[#This Row],[Engine Family Name:]])</f>
        <v/>
      </c>
      <c r="AB36" s="60" t="str">
        <f>IF(Table2[[#This Row],[Counter Number]]="","","ULSD")</f>
        <v/>
      </c>
      <c r="AC36" s="167" t="str">
        <f>IF(Table2[[#This Row],[Counter Number]]="","",Table2[[#This Row],[Annual Miles Traveled:]]/Table1[[#This Row],[Old Fuel (mpg)]])</f>
        <v/>
      </c>
      <c r="AD36" s="60" t="str">
        <f>IF(Table2[[#This Row],[Counter Number]]="","","NA")</f>
        <v/>
      </c>
      <c r="AE36" s="168" t="str">
        <f>IF(Table2[[#This Row],[Counter Number]]="","",Table1[[#This Row],[Annual Miles Traveled]])</f>
        <v/>
      </c>
      <c r="AF36" s="169" t="str">
        <f>IF(Table2[[#This Row],[Counter Number]]="","",Table1[[#This Row],[Annual Idling Hours:]])</f>
        <v/>
      </c>
      <c r="AG36" s="60" t="str">
        <f>IF(Table2[[#This Row],[Counter Number]]="","","NA")</f>
        <v/>
      </c>
      <c r="AH36" s="165" t="str">
        <f>IF(Table2[[#This Row],[Counter Number]]="","",IF(Application!$J$25="Set Policy",Table1[[#This Row],[Remaining Life (years)         Set Policy]],Table1[[#This Row],[Remaining Life (years)               Case-by-Case]]))</f>
        <v/>
      </c>
      <c r="AI36" s="165" t="str">
        <f>IF(Table2[[#This Row],[Counter Number]]="","",IF(Application!$J$25="Case-by-Case","NA",Table2[[#This Row],[Fiscal Year of EPA Funds Used:]]+Table2[[#This Row],[Remaining Life:]]))</f>
        <v/>
      </c>
      <c r="AJ36" s="165"/>
      <c r="AK36" s="170" t="str">
        <f>IF(Table2[[#This Row],[Counter Number]]="","",Application!$D$14+1)</f>
        <v/>
      </c>
      <c r="AL36" s="60" t="str">
        <f>IF(Table2[[#This Row],[Counter Number]]="","","Vehicle Replacement")</f>
        <v/>
      </c>
      <c r="AM3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6" s="171" t="str">
        <f>IF(Table2[[#This Row],[Counter Number]]="","",Table1[[#This Row],[Cost of New Bus:]])</f>
        <v/>
      </c>
      <c r="AO36" s="60" t="str">
        <f>IF(Table2[[#This Row],[Counter Number]]="","","NA")</f>
        <v/>
      </c>
      <c r="AP36" s="165" t="str">
        <f>IF(Table2[[#This Row],[Counter Number]]="","",Table1[[#This Row],[New Engine Model Year:]])</f>
        <v/>
      </c>
      <c r="AQ36" s="60" t="str">
        <f>IF(Table2[[#This Row],[Counter Number]]="","","NA")</f>
        <v/>
      </c>
      <c r="AR36" s="165" t="str">
        <f>IF(Table2[[#This Row],[Counter Number]]="","",Table1[[#This Row],[New Engine Horsepower (HP):]])</f>
        <v/>
      </c>
      <c r="AS36" s="60" t="str">
        <f>IF(Table2[[#This Row],[Counter Number]]="","","NA")</f>
        <v/>
      </c>
      <c r="AT36" s="165" t="str">
        <f>IF(Table2[[#This Row],[Counter Number]]="","",Table1[[#This Row],[New Engine Cylinder Displacement (L):]]&amp;" L")</f>
        <v/>
      </c>
      <c r="AU36" s="114" t="str">
        <f>IF(Table2[[#This Row],[Counter Number]]="","",Table1[[#This Row],[New Engine Number of Cylinders:]])</f>
        <v/>
      </c>
      <c r="AV36" s="60" t="str">
        <f>IF(Table2[[#This Row],[Counter Number]]="","",Table1[[#This Row],[New Engine Family Name:]])</f>
        <v/>
      </c>
      <c r="AW3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6" s="60" t="str">
        <f>IF(Table2[[#This Row],[Counter Number]]="","","NA")</f>
        <v/>
      </c>
      <c r="AY36" s="172" t="str">
        <f>IF(Table2[[#This Row],[Counter Number]]="","",IF(Table2[[#This Row],[New Engine Fuel Type:]]="ULSD",Table1[[#This Row],[Annual Miles Traveled]]/Table1[[#This Row],[New Fuel (mpg) if Diesel]],""))</f>
        <v/>
      </c>
      <c r="AZ36" s="60"/>
      <c r="BA36" s="173" t="str">
        <f>IF(Table2[[#This Row],[Counter Number]]="","",Table2[[#This Row],[Annual Miles Traveled:]]*VLOOKUP(Table2[[#This Row],[Engine Model Year:]],EFTable[],3,FALSE))</f>
        <v/>
      </c>
      <c r="BB36" s="173" t="str">
        <f>IF(Table2[[#This Row],[Counter Number]]="","",Table2[[#This Row],[Annual Miles Traveled:]]*IF(Table2[[#This Row],[New Engine Fuel Type:]]="ULSD",VLOOKUP(Table2[[#This Row],[New Engine Model Year:]],EFTable[],3,FALSE),VLOOKUP(Table2[[#This Row],[New Engine Fuel Type:]],EFTable[],3,FALSE)))</f>
        <v/>
      </c>
      <c r="BC36" s="187" t="str">
        <f>IF(Table2[[#This Row],[Counter Number]]="","",Table2[[#This Row],[Old Bus NOx Emissions (tons/yr)]]-Table2[[#This Row],[New Bus NOx Emissions (tons/yr)]])</f>
        <v/>
      </c>
      <c r="BD36" s="188" t="str">
        <f>IF(Table2[[#This Row],[Counter Number]]="","",Table2[[#This Row],[Reduction Bus NOx Emissions (tons/yr)]]/Table2[[#This Row],[Old Bus NOx Emissions (tons/yr)]])</f>
        <v/>
      </c>
      <c r="BE36" s="175" t="str">
        <f>IF(Table2[[#This Row],[Counter Number]]="","",Table2[[#This Row],[Reduction Bus NOx Emissions (tons/yr)]]*Table2[[#This Row],[Remaining Life:]])</f>
        <v/>
      </c>
      <c r="BF36" s="189" t="str">
        <f>IF(Table2[[#This Row],[Counter Number]]="","",IF(Table2[[#This Row],[Lifetime NOx Reduction (tons)]]=0,"NA",Table2[[#This Row],[Upgrade Cost Per Unit]]/Table2[[#This Row],[Lifetime NOx Reduction (tons)]]))</f>
        <v/>
      </c>
      <c r="BG36" s="190" t="str">
        <f>IF(Table2[[#This Row],[Counter Number]]="","",Table2[[#This Row],[Annual Miles Traveled:]]*VLOOKUP(Table2[[#This Row],[Engine Model Year:]],EF!$A$2:$G$27,4,FALSE))</f>
        <v/>
      </c>
      <c r="BH36" s="173" t="str">
        <f>IF(Table2[[#This Row],[Counter Number]]="","",Table2[[#This Row],[Annual Miles Traveled:]]*IF(Table2[[#This Row],[New Engine Fuel Type:]]="ULSD",VLOOKUP(Table2[[#This Row],[New Engine Model Year:]],EFTable[],4,FALSE),VLOOKUP(Table2[[#This Row],[New Engine Fuel Type:]],EFTable[],4,FALSE)))</f>
        <v/>
      </c>
      <c r="BI36" s="191" t="str">
        <f>IF(Table2[[#This Row],[Counter Number]]="","",Table2[[#This Row],[Old Bus PM2.5 Emissions (tons/yr)]]-Table2[[#This Row],[New Bus PM2.5 Emissions (tons/yr)]])</f>
        <v/>
      </c>
      <c r="BJ36" s="192" t="str">
        <f>IF(Table2[[#This Row],[Counter Number]]="","",Table2[[#This Row],[Reduction Bus PM2.5 Emissions (tons/yr)]]/Table2[[#This Row],[Old Bus PM2.5 Emissions (tons/yr)]])</f>
        <v/>
      </c>
      <c r="BK36" s="193" t="str">
        <f>IF(Table2[[#This Row],[Counter Number]]="","",Table2[[#This Row],[Reduction Bus PM2.5 Emissions (tons/yr)]]*Table2[[#This Row],[Remaining Life:]])</f>
        <v/>
      </c>
      <c r="BL36" s="194" t="str">
        <f>IF(Table2[[#This Row],[Counter Number]]="","",IF(Table2[[#This Row],[Lifetime PM2.5 Reduction (tons)]]=0,"NA",Table2[[#This Row],[Upgrade Cost Per Unit]]/Table2[[#This Row],[Lifetime PM2.5 Reduction (tons)]]))</f>
        <v/>
      </c>
      <c r="BM36" s="179" t="str">
        <f>IF(Table2[[#This Row],[Counter Number]]="","",Table2[[#This Row],[Annual Miles Traveled:]]*VLOOKUP(Table2[[#This Row],[Engine Model Year:]],EF!$A$2:$G$40,5,FALSE))</f>
        <v/>
      </c>
      <c r="BN36" s="173" t="str">
        <f>IF(Table2[[#This Row],[Counter Number]]="","",Table2[[#This Row],[Annual Miles Traveled:]]*IF(Table2[[#This Row],[New Engine Fuel Type:]]="ULSD",VLOOKUP(Table2[[#This Row],[New Engine Model Year:]],EFTable[],5,FALSE),VLOOKUP(Table2[[#This Row],[New Engine Fuel Type:]],EFTable[],5,FALSE)))</f>
        <v/>
      </c>
      <c r="BO36" s="190" t="str">
        <f>IF(Table2[[#This Row],[Counter Number]]="","",Table2[[#This Row],[Old Bus HC Emissions (tons/yr)]]-Table2[[#This Row],[New Bus HC Emissions (tons/yr)]])</f>
        <v/>
      </c>
      <c r="BP36" s="188" t="str">
        <f>IF(Table2[[#This Row],[Counter Number]]="","",Table2[[#This Row],[Reduction Bus HC Emissions (tons/yr)]]/Table2[[#This Row],[Old Bus HC Emissions (tons/yr)]])</f>
        <v/>
      </c>
      <c r="BQ36" s="193" t="str">
        <f>IF(Table2[[#This Row],[Counter Number]]="","",Table2[[#This Row],[Reduction Bus HC Emissions (tons/yr)]]*Table2[[#This Row],[Remaining Life:]])</f>
        <v/>
      </c>
      <c r="BR36" s="194" t="str">
        <f>IF(Table2[[#This Row],[Counter Number]]="","",IF(Table2[[#This Row],[Lifetime HC Reduction (tons)]]=0,"NA",Table2[[#This Row],[Upgrade Cost Per Unit]]/Table2[[#This Row],[Lifetime HC Reduction (tons)]]))</f>
        <v/>
      </c>
      <c r="BS36" s="191" t="str">
        <f>IF(Table2[[#This Row],[Counter Number]]="","",Table2[[#This Row],[Annual Miles Traveled:]]*VLOOKUP(Table2[[#This Row],[Engine Model Year:]],EF!$A$2:$G$27,6,FALSE))</f>
        <v/>
      </c>
      <c r="BT36" s="173" t="str">
        <f>IF(Table2[[#This Row],[Counter Number]]="","",Table2[[#This Row],[Annual Miles Traveled:]]*IF(Table2[[#This Row],[New Engine Fuel Type:]]="ULSD",VLOOKUP(Table2[[#This Row],[New Engine Model Year:]],EFTable[],6,FALSE),VLOOKUP(Table2[[#This Row],[New Engine Fuel Type:]],EFTable[],6,FALSE)))</f>
        <v/>
      </c>
      <c r="BU36" s="190" t="str">
        <f>IF(Table2[[#This Row],[Counter Number]]="","",Table2[[#This Row],[Old Bus CO Emissions (tons/yr)]]-Table2[[#This Row],[New Bus CO Emissions (tons/yr)]])</f>
        <v/>
      </c>
      <c r="BV36" s="188" t="str">
        <f>IF(Table2[[#This Row],[Counter Number]]="","",Table2[[#This Row],[Reduction Bus CO Emissions (tons/yr)]]/Table2[[#This Row],[Old Bus CO Emissions (tons/yr)]])</f>
        <v/>
      </c>
      <c r="BW36" s="193" t="str">
        <f>IF(Table2[[#This Row],[Counter Number]]="","",Table2[[#This Row],[Reduction Bus CO Emissions (tons/yr)]]*Table2[[#This Row],[Remaining Life:]])</f>
        <v/>
      </c>
      <c r="BX36" s="194" t="str">
        <f>IF(Table2[[#This Row],[Counter Number]]="","",IF(Table2[[#This Row],[Lifetime CO Reduction (tons)]]=0,"NA",Table2[[#This Row],[Upgrade Cost Per Unit]]/Table2[[#This Row],[Lifetime CO Reduction (tons)]]))</f>
        <v/>
      </c>
      <c r="BY36" s="180" t="str">
        <f>IF(Table2[[#This Row],[Counter Number]]="","",Table2[[#This Row],[Old ULSD Used (gal):]]*VLOOKUP(Table2[[#This Row],[Engine Model Year:]],EF!$A$2:$G$27,7,FALSE))</f>
        <v/>
      </c>
      <c r="BZ3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6" s="195" t="str">
        <f>IF(Table2[[#This Row],[Counter Number]]="","",Table2[[#This Row],[Old Bus CO2 Emissions (tons/yr)]]-Table2[[#This Row],[New Bus CO2 Emissions (tons/yr)]])</f>
        <v/>
      </c>
      <c r="CB36" s="188" t="str">
        <f>IF(Table2[[#This Row],[Counter Number]]="","",Table2[[#This Row],[Reduction Bus CO2 Emissions (tons/yr)]]/Table2[[#This Row],[Old Bus CO2 Emissions (tons/yr)]])</f>
        <v/>
      </c>
      <c r="CC36" s="195" t="str">
        <f>IF(Table2[[#This Row],[Counter Number]]="","",Table2[[#This Row],[Reduction Bus CO2 Emissions (tons/yr)]]*Table2[[#This Row],[Remaining Life:]])</f>
        <v/>
      </c>
      <c r="CD36" s="194" t="str">
        <f>IF(Table2[[#This Row],[Counter Number]]="","",IF(Table2[[#This Row],[Lifetime CO2 Reduction (tons)]]=0,"NA",Table2[[#This Row],[Upgrade Cost Per Unit]]/Table2[[#This Row],[Lifetime CO2 Reduction (tons)]]))</f>
        <v/>
      </c>
      <c r="CE36" s="182" t="str">
        <f>IF(Table2[[#This Row],[Counter Number]]="","",IF(Table2[[#This Row],[New ULSD Used (gal):]]="",Table2[[#This Row],[Old ULSD Used (gal):]],Table2[[#This Row],[Old ULSD Used (gal):]]-Table2[[#This Row],[New ULSD Used (gal):]]))</f>
        <v/>
      </c>
      <c r="CF36" s="196" t="str">
        <f>IF(Table2[[#This Row],[Counter Number]]="","",Table2[[#This Row],[Diesel Fuel Reduction (gal/yr)]]/Table2[[#This Row],[Old ULSD Used (gal):]])</f>
        <v/>
      </c>
      <c r="CG36" s="197" t="str">
        <f>IF(Table2[[#This Row],[Counter Number]]="","",Table2[[#This Row],[Diesel Fuel Reduction (gal/yr)]]*Table2[[#This Row],[Remaining Life:]])</f>
        <v/>
      </c>
    </row>
    <row r="37" spans="1:85" ht="15.45" customHeight="1">
      <c r="A37" s="184" t="str">
        <f>IF(A36&lt;Application!$D$24,A36+1,"")</f>
        <v/>
      </c>
      <c r="B37" s="60" t="str">
        <f>IF(Table2[[#This Row],[Counter Number]]="","",Application!$D$16)</f>
        <v/>
      </c>
      <c r="C37" s="60" t="str">
        <f>IF(Table2[[#This Row],[Counter Number]]="","",Application!$D$14)</f>
        <v/>
      </c>
      <c r="D37" s="60" t="str">
        <f>IF(Table2[[#This Row],[Counter Number]]="","",Table1[[#This Row],[Old Bus Number]])</f>
        <v/>
      </c>
      <c r="E37" s="60" t="str">
        <f>IF(Table2[[#This Row],[Counter Number]]="","",Application!$D$15)</f>
        <v/>
      </c>
      <c r="F37" s="60" t="str">
        <f>IF(Table2[[#This Row],[Counter Number]]="","","On Highway")</f>
        <v/>
      </c>
      <c r="G37" s="60" t="str">
        <f>IF(Table2[[#This Row],[Counter Number]]="","",I37)</f>
        <v/>
      </c>
      <c r="H37" s="60" t="str">
        <f>IF(Table2[[#This Row],[Counter Number]]="","","Georgia")</f>
        <v/>
      </c>
      <c r="I37" s="60" t="str">
        <f>IF(Table2[[#This Row],[Counter Number]]="","",Application!$D$16)</f>
        <v/>
      </c>
      <c r="J37" s="60" t="str">
        <f>IF(Table2[[#This Row],[Counter Number]]="","",Application!$D$21)</f>
        <v/>
      </c>
      <c r="K37" s="60" t="str">
        <f>IF(Table2[[#This Row],[Counter Number]]="","",Application!$J$21)</f>
        <v/>
      </c>
      <c r="L37" s="60" t="str">
        <f>IF(Table2[[#This Row],[Counter Number]]="","","School Bus")</f>
        <v/>
      </c>
      <c r="M37" s="60" t="str">
        <f>IF(Table2[[#This Row],[Counter Number]]="","","School Bus")</f>
        <v/>
      </c>
      <c r="N37" s="60" t="str">
        <f>IF(Table2[[#This Row],[Counter Number]]="","",1)</f>
        <v/>
      </c>
      <c r="O37" s="60" t="str">
        <f>IF(Table2[[#This Row],[Counter Number]]="","",Table1[[#This Row],[Vehicle Identification Number(s):]])</f>
        <v/>
      </c>
      <c r="P37" s="60" t="str">
        <f>IF(Table2[[#This Row],[Counter Number]]="","",Table1[[#This Row],[Old Bus Manufacturer:]])</f>
        <v/>
      </c>
      <c r="Q37" s="60" t="str">
        <f>IF(Table2[[#This Row],[Counter Number]]="","",Table1[[#This Row],[Vehicle Model:]])</f>
        <v/>
      </c>
      <c r="R37" s="165" t="str">
        <f>IF(Table2[[#This Row],[Counter Number]]="","",Table1[[#This Row],[Vehicle Model Year:]])</f>
        <v/>
      </c>
      <c r="S37" s="60" t="str">
        <f>IF(Table2[[#This Row],[Counter Number]]="","",Table1[[#This Row],[Engine Serial Number(s):]])</f>
        <v/>
      </c>
      <c r="T37" s="60" t="str">
        <f>IF(Table2[[#This Row],[Counter Number]]="","",Table1[[#This Row],[Engine Make:]])</f>
        <v/>
      </c>
      <c r="U37" s="60" t="str">
        <f>IF(Table2[[#This Row],[Counter Number]]="","",Table1[[#This Row],[Engine Model:]])</f>
        <v/>
      </c>
      <c r="V37" s="165" t="str">
        <f>IF(Table2[[#This Row],[Counter Number]]="","",Table1[[#This Row],[Engine Model Year:]])</f>
        <v/>
      </c>
      <c r="W37" s="60" t="str">
        <f>IF(Table2[[#This Row],[Counter Number]]="","","NA")</f>
        <v/>
      </c>
      <c r="X37" s="165" t="str">
        <f>IF(Table2[[#This Row],[Counter Number]]="","",Table1[[#This Row],[Engine Horsepower (HP):]])</f>
        <v/>
      </c>
      <c r="Y37" s="165" t="str">
        <f>IF(Table2[[#This Row],[Counter Number]]="","",Table1[[#This Row],[Engine Cylinder Displacement (L):]]&amp;" L")</f>
        <v/>
      </c>
      <c r="Z37" s="165" t="str">
        <f>IF(Table2[[#This Row],[Counter Number]]="","",Table1[[#This Row],[Engine Number of Cylinders:]])</f>
        <v/>
      </c>
      <c r="AA37" s="166" t="str">
        <f>IF(Table2[[#This Row],[Counter Number]]="","",Table1[[#This Row],[Engine Family Name:]])</f>
        <v/>
      </c>
      <c r="AB37" s="60" t="str">
        <f>IF(Table2[[#This Row],[Counter Number]]="","","ULSD")</f>
        <v/>
      </c>
      <c r="AC37" s="167" t="str">
        <f>IF(Table2[[#This Row],[Counter Number]]="","",Table2[[#This Row],[Annual Miles Traveled:]]/Table1[[#This Row],[Old Fuel (mpg)]])</f>
        <v/>
      </c>
      <c r="AD37" s="60" t="str">
        <f>IF(Table2[[#This Row],[Counter Number]]="","","NA")</f>
        <v/>
      </c>
      <c r="AE37" s="168" t="str">
        <f>IF(Table2[[#This Row],[Counter Number]]="","",Table1[[#This Row],[Annual Miles Traveled]])</f>
        <v/>
      </c>
      <c r="AF37" s="169" t="str">
        <f>IF(Table2[[#This Row],[Counter Number]]="","",Table1[[#This Row],[Annual Idling Hours:]])</f>
        <v/>
      </c>
      <c r="AG37" s="60" t="str">
        <f>IF(Table2[[#This Row],[Counter Number]]="","","NA")</f>
        <v/>
      </c>
      <c r="AH37" s="165" t="str">
        <f>IF(Table2[[#This Row],[Counter Number]]="","",IF(Application!$J$25="Set Policy",Table1[[#This Row],[Remaining Life (years)         Set Policy]],Table1[[#This Row],[Remaining Life (years)               Case-by-Case]]))</f>
        <v/>
      </c>
      <c r="AI37" s="165" t="str">
        <f>IF(Table2[[#This Row],[Counter Number]]="","",IF(Application!$J$25="Case-by-Case","NA",Table2[[#This Row],[Fiscal Year of EPA Funds Used:]]+Table2[[#This Row],[Remaining Life:]]))</f>
        <v/>
      </c>
      <c r="AJ37" s="165"/>
      <c r="AK37" s="170" t="str">
        <f>IF(Table2[[#This Row],[Counter Number]]="","",Application!$D$14+1)</f>
        <v/>
      </c>
      <c r="AL37" s="60" t="str">
        <f>IF(Table2[[#This Row],[Counter Number]]="","","Vehicle Replacement")</f>
        <v/>
      </c>
      <c r="AM3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7" s="171" t="str">
        <f>IF(Table2[[#This Row],[Counter Number]]="","",Table1[[#This Row],[Cost of New Bus:]])</f>
        <v/>
      </c>
      <c r="AO37" s="60" t="str">
        <f>IF(Table2[[#This Row],[Counter Number]]="","","NA")</f>
        <v/>
      </c>
      <c r="AP37" s="165" t="str">
        <f>IF(Table2[[#This Row],[Counter Number]]="","",Table1[[#This Row],[New Engine Model Year:]])</f>
        <v/>
      </c>
      <c r="AQ37" s="60" t="str">
        <f>IF(Table2[[#This Row],[Counter Number]]="","","NA")</f>
        <v/>
      </c>
      <c r="AR37" s="165" t="str">
        <f>IF(Table2[[#This Row],[Counter Number]]="","",Table1[[#This Row],[New Engine Horsepower (HP):]])</f>
        <v/>
      </c>
      <c r="AS37" s="60" t="str">
        <f>IF(Table2[[#This Row],[Counter Number]]="","","NA")</f>
        <v/>
      </c>
      <c r="AT37" s="165" t="str">
        <f>IF(Table2[[#This Row],[Counter Number]]="","",Table1[[#This Row],[New Engine Cylinder Displacement (L):]]&amp;" L")</f>
        <v/>
      </c>
      <c r="AU37" s="114" t="str">
        <f>IF(Table2[[#This Row],[Counter Number]]="","",Table1[[#This Row],[New Engine Number of Cylinders:]])</f>
        <v/>
      </c>
      <c r="AV37" s="60" t="str">
        <f>IF(Table2[[#This Row],[Counter Number]]="","",Table1[[#This Row],[New Engine Family Name:]])</f>
        <v/>
      </c>
      <c r="AW3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7" s="60" t="str">
        <f>IF(Table2[[#This Row],[Counter Number]]="","","NA")</f>
        <v/>
      </c>
      <c r="AY37" s="172" t="str">
        <f>IF(Table2[[#This Row],[Counter Number]]="","",IF(Table2[[#This Row],[New Engine Fuel Type:]]="ULSD",Table1[[#This Row],[Annual Miles Traveled]]/Table1[[#This Row],[New Fuel (mpg) if Diesel]],""))</f>
        <v/>
      </c>
      <c r="AZ37" s="60"/>
      <c r="BA37" s="173" t="str">
        <f>IF(Table2[[#This Row],[Counter Number]]="","",Table2[[#This Row],[Annual Miles Traveled:]]*VLOOKUP(Table2[[#This Row],[Engine Model Year:]],EFTable[],3,FALSE))</f>
        <v/>
      </c>
      <c r="BB37" s="173" t="str">
        <f>IF(Table2[[#This Row],[Counter Number]]="","",Table2[[#This Row],[Annual Miles Traveled:]]*IF(Table2[[#This Row],[New Engine Fuel Type:]]="ULSD",VLOOKUP(Table2[[#This Row],[New Engine Model Year:]],EFTable[],3,FALSE),VLOOKUP(Table2[[#This Row],[New Engine Fuel Type:]],EFTable[],3,FALSE)))</f>
        <v/>
      </c>
      <c r="BC37" s="187" t="str">
        <f>IF(Table2[[#This Row],[Counter Number]]="","",Table2[[#This Row],[Old Bus NOx Emissions (tons/yr)]]-Table2[[#This Row],[New Bus NOx Emissions (tons/yr)]])</f>
        <v/>
      </c>
      <c r="BD37" s="188" t="str">
        <f>IF(Table2[[#This Row],[Counter Number]]="","",Table2[[#This Row],[Reduction Bus NOx Emissions (tons/yr)]]/Table2[[#This Row],[Old Bus NOx Emissions (tons/yr)]])</f>
        <v/>
      </c>
      <c r="BE37" s="175" t="str">
        <f>IF(Table2[[#This Row],[Counter Number]]="","",Table2[[#This Row],[Reduction Bus NOx Emissions (tons/yr)]]*Table2[[#This Row],[Remaining Life:]])</f>
        <v/>
      </c>
      <c r="BF37" s="189" t="str">
        <f>IF(Table2[[#This Row],[Counter Number]]="","",IF(Table2[[#This Row],[Lifetime NOx Reduction (tons)]]=0,"NA",Table2[[#This Row],[Upgrade Cost Per Unit]]/Table2[[#This Row],[Lifetime NOx Reduction (tons)]]))</f>
        <v/>
      </c>
      <c r="BG37" s="190" t="str">
        <f>IF(Table2[[#This Row],[Counter Number]]="","",Table2[[#This Row],[Annual Miles Traveled:]]*VLOOKUP(Table2[[#This Row],[Engine Model Year:]],EF!$A$2:$G$27,4,FALSE))</f>
        <v/>
      </c>
      <c r="BH37" s="173" t="str">
        <f>IF(Table2[[#This Row],[Counter Number]]="","",Table2[[#This Row],[Annual Miles Traveled:]]*IF(Table2[[#This Row],[New Engine Fuel Type:]]="ULSD",VLOOKUP(Table2[[#This Row],[New Engine Model Year:]],EFTable[],4,FALSE),VLOOKUP(Table2[[#This Row],[New Engine Fuel Type:]],EFTable[],4,FALSE)))</f>
        <v/>
      </c>
      <c r="BI37" s="191" t="str">
        <f>IF(Table2[[#This Row],[Counter Number]]="","",Table2[[#This Row],[Old Bus PM2.5 Emissions (tons/yr)]]-Table2[[#This Row],[New Bus PM2.5 Emissions (tons/yr)]])</f>
        <v/>
      </c>
      <c r="BJ37" s="192" t="str">
        <f>IF(Table2[[#This Row],[Counter Number]]="","",Table2[[#This Row],[Reduction Bus PM2.5 Emissions (tons/yr)]]/Table2[[#This Row],[Old Bus PM2.5 Emissions (tons/yr)]])</f>
        <v/>
      </c>
      <c r="BK37" s="193" t="str">
        <f>IF(Table2[[#This Row],[Counter Number]]="","",Table2[[#This Row],[Reduction Bus PM2.5 Emissions (tons/yr)]]*Table2[[#This Row],[Remaining Life:]])</f>
        <v/>
      </c>
      <c r="BL37" s="194" t="str">
        <f>IF(Table2[[#This Row],[Counter Number]]="","",IF(Table2[[#This Row],[Lifetime PM2.5 Reduction (tons)]]=0,"NA",Table2[[#This Row],[Upgrade Cost Per Unit]]/Table2[[#This Row],[Lifetime PM2.5 Reduction (tons)]]))</f>
        <v/>
      </c>
      <c r="BM37" s="179" t="str">
        <f>IF(Table2[[#This Row],[Counter Number]]="","",Table2[[#This Row],[Annual Miles Traveled:]]*VLOOKUP(Table2[[#This Row],[Engine Model Year:]],EF!$A$2:$G$40,5,FALSE))</f>
        <v/>
      </c>
      <c r="BN37" s="173" t="str">
        <f>IF(Table2[[#This Row],[Counter Number]]="","",Table2[[#This Row],[Annual Miles Traveled:]]*IF(Table2[[#This Row],[New Engine Fuel Type:]]="ULSD",VLOOKUP(Table2[[#This Row],[New Engine Model Year:]],EFTable[],5,FALSE),VLOOKUP(Table2[[#This Row],[New Engine Fuel Type:]],EFTable[],5,FALSE)))</f>
        <v/>
      </c>
      <c r="BO37" s="190" t="str">
        <f>IF(Table2[[#This Row],[Counter Number]]="","",Table2[[#This Row],[Old Bus HC Emissions (tons/yr)]]-Table2[[#This Row],[New Bus HC Emissions (tons/yr)]])</f>
        <v/>
      </c>
      <c r="BP37" s="188" t="str">
        <f>IF(Table2[[#This Row],[Counter Number]]="","",Table2[[#This Row],[Reduction Bus HC Emissions (tons/yr)]]/Table2[[#This Row],[Old Bus HC Emissions (tons/yr)]])</f>
        <v/>
      </c>
      <c r="BQ37" s="193" t="str">
        <f>IF(Table2[[#This Row],[Counter Number]]="","",Table2[[#This Row],[Reduction Bus HC Emissions (tons/yr)]]*Table2[[#This Row],[Remaining Life:]])</f>
        <v/>
      </c>
      <c r="BR37" s="194" t="str">
        <f>IF(Table2[[#This Row],[Counter Number]]="","",IF(Table2[[#This Row],[Lifetime HC Reduction (tons)]]=0,"NA",Table2[[#This Row],[Upgrade Cost Per Unit]]/Table2[[#This Row],[Lifetime HC Reduction (tons)]]))</f>
        <v/>
      </c>
      <c r="BS37" s="191" t="str">
        <f>IF(Table2[[#This Row],[Counter Number]]="","",Table2[[#This Row],[Annual Miles Traveled:]]*VLOOKUP(Table2[[#This Row],[Engine Model Year:]],EF!$A$2:$G$27,6,FALSE))</f>
        <v/>
      </c>
      <c r="BT37" s="173" t="str">
        <f>IF(Table2[[#This Row],[Counter Number]]="","",Table2[[#This Row],[Annual Miles Traveled:]]*IF(Table2[[#This Row],[New Engine Fuel Type:]]="ULSD",VLOOKUP(Table2[[#This Row],[New Engine Model Year:]],EFTable[],6,FALSE),VLOOKUP(Table2[[#This Row],[New Engine Fuel Type:]],EFTable[],6,FALSE)))</f>
        <v/>
      </c>
      <c r="BU37" s="190" t="str">
        <f>IF(Table2[[#This Row],[Counter Number]]="","",Table2[[#This Row],[Old Bus CO Emissions (tons/yr)]]-Table2[[#This Row],[New Bus CO Emissions (tons/yr)]])</f>
        <v/>
      </c>
      <c r="BV37" s="188" t="str">
        <f>IF(Table2[[#This Row],[Counter Number]]="","",Table2[[#This Row],[Reduction Bus CO Emissions (tons/yr)]]/Table2[[#This Row],[Old Bus CO Emissions (tons/yr)]])</f>
        <v/>
      </c>
      <c r="BW37" s="193" t="str">
        <f>IF(Table2[[#This Row],[Counter Number]]="","",Table2[[#This Row],[Reduction Bus CO Emissions (tons/yr)]]*Table2[[#This Row],[Remaining Life:]])</f>
        <v/>
      </c>
      <c r="BX37" s="194" t="str">
        <f>IF(Table2[[#This Row],[Counter Number]]="","",IF(Table2[[#This Row],[Lifetime CO Reduction (tons)]]=0,"NA",Table2[[#This Row],[Upgrade Cost Per Unit]]/Table2[[#This Row],[Lifetime CO Reduction (tons)]]))</f>
        <v/>
      </c>
      <c r="BY37" s="180" t="str">
        <f>IF(Table2[[#This Row],[Counter Number]]="","",Table2[[#This Row],[Old ULSD Used (gal):]]*VLOOKUP(Table2[[#This Row],[Engine Model Year:]],EF!$A$2:$G$27,7,FALSE))</f>
        <v/>
      </c>
      <c r="BZ3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7" s="195" t="str">
        <f>IF(Table2[[#This Row],[Counter Number]]="","",Table2[[#This Row],[Old Bus CO2 Emissions (tons/yr)]]-Table2[[#This Row],[New Bus CO2 Emissions (tons/yr)]])</f>
        <v/>
      </c>
      <c r="CB37" s="188" t="str">
        <f>IF(Table2[[#This Row],[Counter Number]]="","",Table2[[#This Row],[Reduction Bus CO2 Emissions (tons/yr)]]/Table2[[#This Row],[Old Bus CO2 Emissions (tons/yr)]])</f>
        <v/>
      </c>
      <c r="CC37" s="195" t="str">
        <f>IF(Table2[[#This Row],[Counter Number]]="","",Table2[[#This Row],[Reduction Bus CO2 Emissions (tons/yr)]]*Table2[[#This Row],[Remaining Life:]])</f>
        <v/>
      </c>
      <c r="CD37" s="194" t="str">
        <f>IF(Table2[[#This Row],[Counter Number]]="","",IF(Table2[[#This Row],[Lifetime CO2 Reduction (tons)]]=0,"NA",Table2[[#This Row],[Upgrade Cost Per Unit]]/Table2[[#This Row],[Lifetime CO2 Reduction (tons)]]))</f>
        <v/>
      </c>
      <c r="CE37" s="182" t="str">
        <f>IF(Table2[[#This Row],[Counter Number]]="","",IF(Table2[[#This Row],[New ULSD Used (gal):]]="",Table2[[#This Row],[Old ULSD Used (gal):]],Table2[[#This Row],[Old ULSD Used (gal):]]-Table2[[#This Row],[New ULSD Used (gal):]]))</f>
        <v/>
      </c>
      <c r="CF37" s="196" t="str">
        <f>IF(Table2[[#This Row],[Counter Number]]="","",Table2[[#This Row],[Diesel Fuel Reduction (gal/yr)]]/Table2[[#This Row],[Old ULSD Used (gal):]])</f>
        <v/>
      </c>
      <c r="CG37" s="197" t="str">
        <f>IF(Table2[[#This Row],[Counter Number]]="","",Table2[[#This Row],[Diesel Fuel Reduction (gal/yr)]]*Table2[[#This Row],[Remaining Life:]])</f>
        <v/>
      </c>
    </row>
    <row r="38" spans="1:85" ht="15.45" customHeight="1">
      <c r="A38" s="184" t="str">
        <f>IF(A37&lt;Application!$D$24,A37+1,"")</f>
        <v/>
      </c>
      <c r="B38" s="60" t="str">
        <f>IF(Table2[[#This Row],[Counter Number]]="","",Application!$D$16)</f>
        <v/>
      </c>
      <c r="C38" s="60" t="str">
        <f>IF(Table2[[#This Row],[Counter Number]]="","",Application!$D$14)</f>
        <v/>
      </c>
      <c r="D38" s="60" t="str">
        <f>IF(Table2[[#This Row],[Counter Number]]="","",Table1[[#This Row],[Old Bus Number]])</f>
        <v/>
      </c>
      <c r="E38" s="60" t="str">
        <f>IF(Table2[[#This Row],[Counter Number]]="","",Application!$D$15)</f>
        <v/>
      </c>
      <c r="F38" s="60" t="str">
        <f>IF(Table2[[#This Row],[Counter Number]]="","","On Highway")</f>
        <v/>
      </c>
      <c r="G38" s="60" t="str">
        <f>IF(Table2[[#This Row],[Counter Number]]="","",I38)</f>
        <v/>
      </c>
      <c r="H38" s="60" t="str">
        <f>IF(Table2[[#This Row],[Counter Number]]="","","Georgia")</f>
        <v/>
      </c>
      <c r="I38" s="60" t="str">
        <f>IF(Table2[[#This Row],[Counter Number]]="","",Application!$D$16)</f>
        <v/>
      </c>
      <c r="J38" s="60" t="str">
        <f>IF(Table2[[#This Row],[Counter Number]]="","",Application!$D$21)</f>
        <v/>
      </c>
      <c r="K38" s="60" t="str">
        <f>IF(Table2[[#This Row],[Counter Number]]="","",Application!$J$21)</f>
        <v/>
      </c>
      <c r="L38" s="60" t="str">
        <f>IF(Table2[[#This Row],[Counter Number]]="","","School Bus")</f>
        <v/>
      </c>
      <c r="M38" s="60" t="str">
        <f>IF(Table2[[#This Row],[Counter Number]]="","","School Bus")</f>
        <v/>
      </c>
      <c r="N38" s="60" t="str">
        <f>IF(Table2[[#This Row],[Counter Number]]="","",1)</f>
        <v/>
      </c>
      <c r="O38" s="60" t="str">
        <f>IF(Table2[[#This Row],[Counter Number]]="","",Table1[[#This Row],[Vehicle Identification Number(s):]])</f>
        <v/>
      </c>
      <c r="P38" s="60" t="str">
        <f>IF(Table2[[#This Row],[Counter Number]]="","",Table1[[#This Row],[Old Bus Manufacturer:]])</f>
        <v/>
      </c>
      <c r="Q38" s="60" t="str">
        <f>IF(Table2[[#This Row],[Counter Number]]="","",Table1[[#This Row],[Vehicle Model:]])</f>
        <v/>
      </c>
      <c r="R38" s="165" t="str">
        <f>IF(Table2[[#This Row],[Counter Number]]="","",Table1[[#This Row],[Vehicle Model Year:]])</f>
        <v/>
      </c>
      <c r="S38" s="60" t="str">
        <f>IF(Table2[[#This Row],[Counter Number]]="","",Table1[[#This Row],[Engine Serial Number(s):]])</f>
        <v/>
      </c>
      <c r="T38" s="60" t="str">
        <f>IF(Table2[[#This Row],[Counter Number]]="","",Table1[[#This Row],[Engine Make:]])</f>
        <v/>
      </c>
      <c r="U38" s="60" t="str">
        <f>IF(Table2[[#This Row],[Counter Number]]="","",Table1[[#This Row],[Engine Model:]])</f>
        <v/>
      </c>
      <c r="V38" s="165" t="str">
        <f>IF(Table2[[#This Row],[Counter Number]]="","",Table1[[#This Row],[Engine Model Year:]])</f>
        <v/>
      </c>
      <c r="W38" s="60" t="str">
        <f>IF(Table2[[#This Row],[Counter Number]]="","","NA")</f>
        <v/>
      </c>
      <c r="X38" s="165" t="str">
        <f>IF(Table2[[#This Row],[Counter Number]]="","",Table1[[#This Row],[Engine Horsepower (HP):]])</f>
        <v/>
      </c>
      <c r="Y38" s="165" t="str">
        <f>IF(Table2[[#This Row],[Counter Number]]="","",Table1[[#This Row],[Engine Cylinder Displacement (L):]]&amp;" L")</f>
        <v/>
      </c>
      <c r="Z38" s="165" t="str">
        <f>IF(Table2[[#This Row],[Counter Number]]="","",Table1[[#This Row],[Engine Number of Cylinders:]])</f>
        <v/>
      </c>
      <c r="AA38" s="166" t="str">
        <f>IF(Table2[[#This Row],[Counter Number]]="","",Table1[[#This Row],[Engine Family Name:]])</f>
        <v/>
      </c>
      <c r="AB38" s="60" t="str">
        <f>IF(Table2[[#This Row],[Counter Number]]="","","ULSD")</f>
        <v/>
      </c>
      <c r="AC38" s="167" t="str">
        <f>IF(Table2[[#This Row],[Counter Number]]="","",Table2[[#This Row],[Annual Miles Traveled:]]/Table1[[#This Row],[Old Fuel (mpg)]])</f>
        <v/>
      </c>
      <c r="AD38" s="60" t="str">
        <f>IF(Table2[[#This Row],[Counter Number]]="","","NA")</f>
        <v/>
      </c>
      <c r="AE38" s="168" t="str">
        <f>IF(Table2[[#This Row],[Counter Number]]="","",Table1[[#This Row],[Annual Miles Traveled]])</f>
        <v/>
      </c>
      <c r="AF38" s="169" t="str">
        <f>IF(Table2[[#This Row],[Counter Number]]="","",Table1[[#This Row],[Annual Idling Hours:]])</f>
        <v/>
      </c>
      <c r="AG38" s="60" t="str">
        <f>IF(Table2[[#This Row],[Counter Number]]="","","NA")</f>
        <v/>
      </c>
      <c r="AH38" s="165" t="str">
        <f>IF(Table2[[#This Row],[Counter Number]]="","",IF(Application!$J$25="Set Policy",Table1[[#This Row],[Remaining Life (years)         Set Policy]],Table1[[#This Row],[Remaining Life (years)               Case-by-Case]]))</f>
        <v/>
      </c>
      <c r="AI38" s="165" t="str">
        <f>IF(Table2[[#This Row],[Counter Number]]="","",IF(Application!$J$25="Case-by-Case","NA",Table2[[#This Row],[Fiscal Year of EPA Funds Used:]]+Table2[[#This Row],[Remaining Life:]]))</f>
        <v/>
      </c>
      <c r="AJ38" s="165"/>
      <c r="AK38" s="170" t="str">
        <f>IF(Table2[[#This Row],[Counter Number]]="","",Application!$D$14+1)</f>
        <v/>
      </c>
      <c r="AL38" s="60" t="str">
        <f>IF(Table2[[#This Row],[Counter Number]]="","","Vehicle Replacement")</f>
        <v/>
      </c>
      <c r="AM3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8" s="171" t="str">
        <f>IF(Table2[[#This Row],[Counter Number]]="","",Table1[[#This Row],[Cost of New Bus:]])</f>
        <v/>
      </c>
      <c r="AO38" s="60" t="str">
        <f>IF(Table2[[#This Row],[Counter Number]]="","","NA")</f>
        <v/>
      </c>
      <c r="AP38" s="165" t="str">
        <f>IF(Table2[[#This Row],[Counter Number]]="","",Table1[[#This Row],[New Engine Model Year:]])</f>
        <v/>
      </c>
      <c r="AQ38" s="60" t="str">
        <f>IF(Table2[[#This Row],[Counter Number]]="","","NA")</f>
        <v/>
      </c>
      <c r="AR38" s="165" t="str">
        <f>IF(Table2[[#This Row],[Counter Number]]="","",Table1[[#This Row],[New Engine Horsepower (HP):]])</f>
        <v/>
      </c>
      <c r="AS38" s="60" t="str">
        <f>IF(Table2[[#This Row],[Counter Number]]="","","NA")</f>
        <v/>
      </c>
      <c r="AT38" s="165" t="str">
        <f>IF(Table2[[#This Row],[Counter Number]]="","",Table1[[#This Row],[New Engine Cylinder Displacement (L):]]&amp;" L")</f>
        <v/>
      </c>
      <c r="AU38" s="114" t="str">
        <f>IF(Table2[[#This Row],[Counter Number]]="","",Table1[[#This Row],[New Engine Number of Cylinders:]])</f>
        <v/>
      </c>
      <c r="AV38" s="60" t="str">
        <f>IF(Table2[[#This Row],[Counter Number]]="","",Table1[[#This Row],[New Engine Family Name:]])</f>
        <v/>
      </c>
      <c r="AW3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8" s="60" t="str">
        <f>IF(Table2[[#This Row],[Counter Number]]="","","NA")</f>
        <v/>
      </c>
      <c r="AY38" s="172" t="str">
        <f>IF(Table2[[#This Row],[Counter Number]]="","",IF(Table2[[#This Row],[New Engine Fuel Type:]]="ULSD",Table1[[#This Row],[Annual Miles Traveled]]/Table1[[#This Row],[New Fuel (mpg) if Diesel]],""))</f>
        <v/>
      </c>
      <c r="AZ38" s="60"/>
      <c r="BA38" s="173" t="str">
        <f>IF(Table2[[#This Row],[Counter Number]]="","",Table2[[#This Row],[Annual Miles Traveled:]]*VLOOKUP(Table2[[#This Row],[Engine Model Year:]],EFTable[],3,FALSE))</f>
        <v/>
      </c>
      <c r="BB38" s="173" t="str">
        <f>IF(Table2[[#This Row],[Counter Number]]="","",Table2[[#This Row],[Annual Miles Traveled:]]*IF(Table2[[#This Row],[New Engine Fuel Type:]]="ULSD",VLOOKUP(Table2[[#This Row],[New Engine Model Year:]],EFTable[],3,FALSE),VLOOKUP(Table2[[#This Row],[New Engine Fuel Type:]],EFTable[],3,FALSE)))</f>
        <v/>
      </c>
      <c r="BC38" s="187" t="str">
        <f>IF(Table2[[#This Row],[Counter Number]]="","",Table2[[#This Row],[Old Bus NOx Emissions (tons/yr)]]-Table2[[#This Row],[New Bus NOx Emissions (tons/yr)]])</f>
        <v/>
      </c>
      <c r="BD38" s="188" t="str">
        <f>IF(Table2[[#This Row],[Counter Number]]="","",Table2[[#This Row],[Reduction Bus NOx Emissions (tons/yr)]]/Table2[[#This Row],[Old Bus NOx Emissions (tons/yr)]])</f>
        <v/>
      </c>
      <c r="BE38" s="175" t="str">
        <f>IF(Table2[[#This Row],[Counter Number]]="","",Table2[[#This Row],[Reduction Bus NOx Emissions (tons/yr)]]*Table2[[#This Row],[Remaining Life:]])</f>
        <v/>
      </c>
      <c r="BF38" s="189" t="str">
        <f>IF(Table2[[#This Row],[Counter Number]]="","",IF(Table2[[#This Row],[Lifetime NOx Reduction (tons)]]=0,"NA",Table2[[#This Row],[Upgrade Cost Per Unit]]/Table2[[#This Row],[Lifetime NOx Reduction (tons)]]))</f>
        <v/>
      </c>
      <c r="BG38" s="190" t="str">
        <f>IF(Table2[[#This Row],[Counter Number]]="","",Table2[[#This Row],[Annual Miles Traveled:]]*VLOOKUP(Table2[[#This Row],[Engine Model Year:]],EF!$A$2:$G$27,4,FALSE))</f>
        <v/>
      </c>
      <c r="BH38" s="173" t="str">
        <f>IF(Table2[[#This Row],[Counter Number]]="","",Table2[[#This Row],[Annual Miles Traveled:]]*IF(Table2[[#This Row],[New Engine Fuel Type:]]="ULSD",VLOOKUP(Table2[[#This Row],[New Engine Model Year:]],EFTable[],4,FALSE),VLOOKUP(Table2[[#This Row],[New Engine Fuel Type:]],EFTable[],4,FALSE)))</f>
        <v/>
      </c>
      <c r="BI38" s="191" t="str">
        <f>IF(Table2[[#This Row],[Counter Number]]="","",Table2[[#This Row],[Old Bus PM2.5 Emissions (tons/yr)]]-Table2[[#This Row],[New Bus PM2.5 Emissions (tons/yr)]])</f>
        <v/>
      </c>
      <c r="BJ38" s="192" t="str">
        <f>IF(Table2[[#This Row],[Counter Number]]="","",Table2[[#This Row],[Reduction Bus PM2.5 Emissions (tons/yr)]]/Table2[[#This Row],[Old Bus PM2.5 Emissions (tons/yr)]])</f>
        <v/>
      </c>
      <c r="BK38" s="193" t="str">
        <f>IF(Table2[[#This Row],[Counter Number]]="","",Table2[[#This Row],[Reduction Bus PM2.5 Emissions (tons/yr)]]*Table2[[#This Row],[Remaining Life:]])</f>
        <v/>
      </c>
      <c r="BL38" s="194" t="str">
        <f>IF(Table2[[#This Row],[Counter Number]]="","",IF(Table2[[#This Row],[Lifetime PM2.5 Reduction (tons)]]=0,"NA",Table2[[#This Row],[Upgrade Cost Per Unit]]/Table2[[#This Row],[Lifetime PM2.5 Reduction (tons)]]))</f>
        <v/>
      </c>
      <c r="BM38" s="179" t="str">
        <f>IF(Table2[[#This Row],[Counter Number]]="","",Table2[[#This Row],[Annual Miles Traveled:]]*VLOOKUP(Table2[[#This Row],[Engine Model Year:]],EF!$A$2:$G$40,5,FALSE))</f>
        <v/>
      </c>
      <c r="BN38" s="173" t="str">
        <f>IF(Table2[[#This Row],[Counter Number]]="","",Table2[[#This Row],[Annual Miles Traveled:]]*IF(Table2[[#This Row],[New Engine Fuel Type:]]="ULSD",VLOOKUP(Table2[[#This Row],[New Engine Model Year:]],EFTable[],5,FALSE),VLOOKUP(Table2[[#This Row],[New Engine Fuel Type:]],EFTable[],5,FALSE)))</f>
        <v/>
      </c>
      <c r="BO38" s="190" t="str">
        <f>IF(Table2[[#This Row],[Counter Number]]="","",Table2[[#This Row],[Old Bus HC Emissions (tons/yr)]]-Table2[[#This Row],[New Bus HC Emissions (tons/yr)]])</f>
        <v/>
      </c>
      <c r="BP38" s="188" t="str">
        <f>IF(Table2[[#This Row],[Counter Number]]="","",Table2[[#This Row],[Reduction Bus HC Emissions (tons/yr)]]/Table2[[#This Row],[Old Bus HC Emissions (tons/yr)]])</f>
        <v/>
      </c>
      <c r="BQ38" s="193" t="str">
        <f>IF(Table2[[#This Row],[Counter Number]]="","",Table2[[#This Row],[Reduction Bus HC Emissions (tons/yr)]]*Table2[[#This Row],[Remaining Life:]])</f>
        <v/>
      </c>
      <c r="BR38" s="194" t="str">
        <f>IF(Table2[[#This Row],[Counter Number]]="","",IF(Table2[[#This Row],[Lifetime HC Reduction (tons)]]=0,"NA",Table2[[#This Row],[Upgrade Cost Per Unit]]/Table2[[#This Row],[Lifetime HC Reduction (tons)]]))</f>
        <v/>
      </c>
      <c r="BS38" s="191" t="str">
        <f>IF(Table2[[#This Row],[Counter Number]]="","",Table2[[#This Row],[Annual Miles Traveled:]]*VLOOKUP(Table2[[#This Row],[Engine Model Year:]],EF!$A$2:$G$27,6,FALSE))</f>
        <v/>
      </c>
      <c r="BT38" s="173" t="str">
        <f>IF(Table2[[#This Row],[Counter Number]]="","",Table2[[#This Row],[Annual Miles Traveled:]]*IF(Table2[[#This Row],[New Engine Fuel Type:]]="ULSD",VLOOKUP(Table2[[#This Row],[New Engine Model Year:]],EFTable[],6,FALSE),VLOOKUP(Table2[[#This Row],[New Engine Fuel Type:]],EFTable[],6,FALSE)))</f>
        <v/>
      </c>
      <c r="BU38" s="190" t="str">
        <f>IF(Table2[[#This Row],[Counter Number]]="","",Table2[[#This Row],[Old Bus CO Emissions (tons/yr)]]-Table2[[#This Row],[New Bus CO Emissions (tons/yr)]])</f>
        <v/>
      </c>
      <c r="BV38" s="188" t="str">
        <f>IF(Table2[[#This Row],[Counter Number]]="","",Table2[[#This Row],[Reduction Bus CO Emissions (tons/yr)]]/Table2[[#This Row],[Old Bus CO Emissions (tons/yr)]])</f>
        <v/>
      </c>
      <c r="BW38" s="193" t="str">
        <f>IF(Table2[[#This Row],[Counter Number]]="","",Table2[[#This Row],[Reduction Bus CO Emissions (tons/yr)]]*Table2[[#This Row],[Remaining Life:]])</f>
        <v/>
      </c>
      <c r="BX38" s="194" t="str">
        <f>IF(Table2[[#This Row],[Counter Number]]="","",IF(Table2[[#This Row],[Lifetime CO Reduction (tons)]]=0,"NA",Table2[[#This Row],[Upgrade Cost Per Unit]]/Table2[[#This Row],[Lifetime CO Reduction (tons)]]))</f>
        <v/>
      </c>
      <c r="BY38" s="180" t="str">
        <f>IF(Table2[[#This Row],[Counter Number]]="","",Table2[[#This Row],[Old ULSD Used (gal):]]*VLOOKUP(Table2[[#This Row],[Engine Model Year:]],EF!$A$2:$G$27,7,FALSE))</f>
        <v/>
      </c>
      <c r="BZ3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8" s="195" t="str">
        <f>IF(Table2[[#This Row],[Counter Number]]="","",Table2[[#This Row],[Old Bus CO2 Emissions (tons/yr)]]-Table2[[#This Row],[New Bus CO2 Emissions (tons/yr)]])</f>
        <v/>
      </c>
      <c r="CB38" s="188" t="str">
        <f>IF(Table2[[#This Row],[Counter Number]]="","",Table2[[#This Row],[Reduction Bus CO2 Emissions (tons/yr)]]/Table2[[#This Row],[Old Bus CO2 Emissions (tons/yr)]])</f>
        <v/>
      </c>
      <c r="CC38" s="195" t="str">
        <f>IF(Table2[[#This Row],[Counter Number]]="","",Table2[[#This Row],[Reduction Bus CO2 Emissions (tons/yr)]]*Table2[[#This Row],[Remaining Life:]])</f>
        <v/>
      </c>
      <c r="CD38" s="194" t="str">
        <f>IF(Table2[[#This Row],[Counter Number]]="","",IF(Table2[[#This Row],[Lifetime CO2 Reduction (tons)]]=0,"NA",Table2[[#This Row],[Upgrade Cost Per Unit]]/Table2[[#This Row],[Lifetime CO2 Reduction (tons)]]))</f>
        <v/>
      </c>
      <c r="CE38" s="182" t="str">
        <f>IF(Table2[[#This Row],[Counter Number]]="","",IF(Table2[[#This Row],[New ULSD Used (gal):]]="",Table2[[#This Row],[Old ULSD Used (gal):]],Table2[[#This Row],[Old ULSD Used (gal):]]-Table2[[#This Row],[New ULSD Used (gal):]]))</f>
        <v/>
      </c>
      <c r="CF38" s="196" t="str">
        <f>IF(Table2[[#This Row],[Counter Number]]="","",Table2[[#This Row],[Diesel Fuel Reduction (gal/yr)]]/Table2[[#This Row],[Old ULSD Used (gal):]])</f>
        <v/>
      </c>
      <c r="CG38" s="197" t="str">
        <f>IF(Table2[[#This Row],[Counter Number]]="","",Table2[[#This Row],[Diesel Fuel Reduction (gal/yr)]]*Table2[[#This Row],[Remaining Life:]])</f>
        <v/>
      </c>
    </row>
    <row r="39" spans="1:85" ht="15.45" customHeight="1">
      <c r="A39" s="184" t="str">
        <f>IF(A38&lt;Application!$D$24,A38+1,"")</f>
        <v/>
      </c>
      <c r="B39" s="60" t="str">
        <f>IF(Table2[[#This Row],[Counter Number]]="","",Application!$D$16)</f>
        <v/>
      </c>
      <c r="C39" s="60" t="str">
        <f>IF(Table2[[#This Row],[Counter Number]]="","",Application!$D$14)</f>
        <v/>
      </c>
      <c r="D39" s="60" t="str">
        <f>IF(Table2[[#This Row],[Counter Number]]="","",Table1[[#This Row],[Old Bus Number]])</f>
        <v/>
      </c>
      <c r="E39" s="60" t="str">
        <f>IF(Table2[[#This Row],[Counter Number]]="","",Application!$D$15)</f>
        <v/>
      </c>
      <c r="F39" s="60" t="str">
        <f>IF(Table2[[#This Row],[Counter Number]]="","","On Highway")</f>
        <v/>
      </c>
      <c r="G39" s="60" t="str">
        <f>IF(Table2[[#This Row],[Counter Number]]="","",I39)</f>
        <v/>
      </c>
      <c r="H39" s="60" t="str">
        <f>IF(Table2[[#This Row],[Counter Number]]="","","Georgia")</f>
        <v/>
      </c>
      <c r="I39" s="60" t="str">
        <f>IF(Table2[[#This Row],[Counter Number]]="","",Application!$D$16)</f>
        <v/>
      </c>
      <c r="J39" s="60" t="str">
        <f>IF(Table2[[#This Row],[Counter Number]]="","",Application!$D$21)</f>
        <v/>
      </c>
      <c r="K39" s="60" t="str">
        <f>IF(Table2[[#This Row],[Counter Number]]="","",Application!$J$21)</f>
        <v/>
      </c>
      <c r="L39" s="60" t="str">
        <f>IF(Table2[[#This Row],[Counter Number]]="","","School Bus")</f>
        <v/>
      </c>
      <c r="M39" s="60" t="str">
        <f>IF(Table2[[#This Row],[Counter Number]]="","","School Bus")</f>
        <v/>
      </c>
      <c r="N39" s="60" t="str">
        <f>IF(Table2[[#This Row],[Counter Number]]="","",1)</f>
        <v/>
      </c>
      <c r="O39" s="60" t="str">
        <f>IF(Table2[[#This Row],[Counter Number]]="","",Table1[[#This Row],[Vehicle Identification Number(s):]])</f>
        <v/>
      </c>
      <c r="P39" s="60" t="str">
        <f>IF(Table2[[#This Row],[Counter Number]]="","",Table1[[#This Row],[Old Bus Manufacturer:]])</f>
        <v/>
      </c>
      <c r="Q39" s="60" t="str">
        <f>IF(Table2[[#This Row],[Counter Number]]="","",Table1[[#This Row],[Vehicle Model:]])</f>
        <v/>
      </c>
      <c r="R39" s="165" t="str">
        <f>IF(Table2[[#This Row],[Counter Number]]="","",Table1[[#This Row],[Vehicle Model Year:]])</f>
        <v/>
      </c>
      <c r="S39" s="60" t="str">
        <f>IF(Table2[[#This Row],[Counter Number]]="","",Table1[[#This Row],[Engine Serial Number(s):]])</f>
        <v/>
      </c>
      <c r="T39" s="60" t="str">
        <f>IF(Table2[[#This Row],[Counter Number]]="","",Table1[[#This Row],[Engine Make:]])</f>
        <v/>
      </c>
      <c r="U39" s="60" t="str">
        <f>IF(Table2[[#This Row],[Counter Number]]="","",Table1[[#This Row],[Engine Model:]])</f>
        <v/>
      </c>
      <c r="V39" s="165" t="str">
        <f>IF(Table2[[#This Row],[Counter Number]]="","",Table1[[#This Row],[Engine Model Year:]])</f>
        <v/>
      </c>
      <c r="W39" s="60" t="str">
        <f>IF(Table2[[#This Row],[Counter Number]]="","","NA")</f>
        <v/>
      </c>
      <c r="X39" s="165" t="str">
        <f>IF(Table2[[#This Row],[Counter Number]]="","",Table1[[#This Row],[Engine Horsepower (HP):]])</f>
        <v/>
      </c>
      <c r="Y39" s="165" t="str">
        <f>IF(Table2[[#This Row],[Counter Number]]="","",Table1[[#This Row],[Engine Cylinder Displacement (L):]]&amp;" L")</f>
        <v/>
      </c>
      <c r="Z39" s="165" t="str">
        <f>IF(Table2[[#This Row],[Counter Number]]="","",Table1[[#This Row],[Engine Number of Cylinders:]])</f>
        <v/>
      </c>
      <c r="AA39" s="166" t="str">
        <f>IF(Table2[[#This Row],[Counter Number]]="","",Table1[[#This Row],[Engine Family Name:]])</f>
        <v/>
      </c>
      <c r="AB39" s="60" t="str">
        <f>IF(Table2[[#This Row],[Counter Number]]="","","ULSD")</f>
        <v/>
      </c>
      <c r="AC39" s="167" t="str">
        <f>IF(Table2[[#This Row],[Counter Number]]="","",Table2[[#This Row],[Annual Miles Traveled:]]/Table1[[#This Row],[Old Fuel (mpg)]])</f>
        <v/>
      </c>
      <c r="AD39" s="60" t="str">
        <f>IF(Table2[[#This Row],[Counter Number]]="","","NA")</f>
        <v/>
      </c>
      <c r="AE39" s="168" t="str">
        <f>IF(Table2[[#This Row],[Counter Number]]="","",Table1[[#This Row],[Annual Miles Traveled]])</f>
        <v/>
      </c>
      <c r="AF39" s="169" t="str">
        <f>IF(Table2[[#This Row],[Counter Number]]="","",Table1[[#This Row],[Annual Idling Hours:]])</f>
        <v/>
      </c>
      <c r="AG39" s="60" t="str">
        <f>IF(Table2[[#This Row],[Counter Number]]="","","NA")</f>
        <v/>
      </c>
      <c r="AH39" s="165" t="str">
        <f>IF(Table2[[#This Row],[Counter Number]]="","",IF(Application!$J$25="Set Policy",Table1[[#This Row],[Remaining Life (years)         Set Policy]],Table1[[#This Row],[Remaining Life (years)               Case-by-Case]]))</f>
        <v/>
      </c>
      <c r="AI39" s="165" t="str">
        <f>IF(Table2[[#This Row],[Counter Number]]="","",IF(Application!$J$25="Case-by-Case","NA",Table2[[#This Row],[Fiscal Year of EPA Funds Used:]]+Table2[[#This Row],[Remaining Life:]]))</f>
        <v/>
      </c>
      <c r="AJ39" s="165"/>
      <c r="AK39" s="170" t="str">
        <f>IF(Table2[[#This Row],[Counter Number]]="","",Application!$D$14+1)</f>
        <v/>
      </c>
      <c r="AL39" s="60" t="str">
        <f>IF(Table2[[#This Row],[Counter Number]]="","","Vehicle Replacement")</f>
        <v/>
      </c>
      <c r="AM3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9" s="171" t="str">
        <f>IF(Table2[[#This Row],[Counter Number]]="","",Table1[[#This Row],[Cost of New Bus:]])</f>
        <v/>
      </c>
      <c r="AO39" s="60" t="str">
        <f>IF(Table2[[#This Row],[Counter Number]]="","","NA")</f>
        <v/>
      </c>
      <c r="AP39" s="165" t="str">
        <f>IF(Table2[[#This Row],[Counter Number]]="","",Table1[[#This Row],[New Engine Model Year:]])</f>
        <v/>
      </c>
      <c r="AQ39" s="60" t="str">
        <f>IF(Table2[[#This Row],[Counter Number]]="","","NA")</f>
        <v/>
      </c>
      <c r="AR39" s="165" t="str">
        <f>IF(Table2[[#This Row],[Counter Number]]="","",Table1[[#This Row],[New Engine Horsepower (HP):]])</f>
        <v/>
      </c>
      <c r="AS39" s="60" t="str">
        <f>IF(Table2[[#This Row],[Counter Number]]="","","NA")</f>
        <v/>
      </c>
      <c r="AT39" s="165" t="str">
        <f>IF(Table2[[#This Row],[Counter Number]]="","",Table1[[#This Row],[New Engine Cylinder Displacement (L):]]&amp;" L")</f>
        <v/>
      </c>
      <c r="AU39" s="114" t="str">
        <f>IF(Table2[[#This Row],[Counter Number]]="","",Table1[[#This Row],[New Engine Number of Cylinders:]])</f>
        <v/>
      </c>
      <c r="AV39" s="60" t="str">
        <f>IF(Table2[[#This Row],[Counter Number]]="","",Table1[[#This Row],[New Engine Family Name:]])</f>
        <v/>
      </c>
      <c r="AW3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9" s="60" t="str">
        <f>IF(Table2[[#This Row],[Counter Number]]="","","NA")</f>
        <v/>
      </c>
      <c r="AY39" s="172" t="str">
        <f>IF(Table2[[#This Row],[Counter Number]]="","",IF(Table2[[#This Row],[New Engine Fuel Type:]]="ULSD",Table1[[#This Row],[Annual Miles Traveled]]/Table1[[#This Row],[New Fuel (mpg) if Diesel]],""))</f>
        <v/>
      </c>
      <c r="AZ39" s="60"/>
      <c r="BA39" s="173" t="str">
        <f>IF(Table2[[#This Row],[Counter Number]]="","",Table2[[#This Row],[Annual Miles Traveled:]]*VLOOKUP(Table2[[#This Row],[Engine Model Year:]],EFTable[],3,FALSE))</f>
        <v/>
      </c>
      <c r="BB39" s="173" t="str">
        <f>IF(Table2[[#This Row],[Counter Number]]="","",Table2[[#This Row],[Annual Miles Traveled:]]*IF(Table2[[#This Row],[New Engine Fuel Type:]]="ULSD",VLOOKUP(Table2[[#This Row],[New Engine Model Year:]],EFTable[],3,FALSE),VLOOKUP(Table2[[#This Row],[New Engine Fuel Type:]],EFTable[],3,FALSE)))</f>
        <v/>
      </c>
      <c r="BC39" s="187" t="str">
        <f>IF(Table2[[#This Row],[Counter Number]]="","",Table2[[#This Row],[Old Bus NOx Emissions (tons/yr)]]-Table2[[#This Row],[New Bus NOx Emissions (tons/yr)]])</f>
        <v/>
      </c>
      <c r="BD39" s="188" t="str">
        <f>IF(Table2[[#This Row],[Counter Number]]="","",Table2[[#This Row],[Reduction Bus NOx Emissions (tons/yr)]]/Table2[[#This Row],[Old Bus NOx Emissions (tons/yr)]])</f>
        <v/>
      </c>
      <c r="BE39" s="175" t="str">
        <f>IF(Table2[[#This Row],[Counter Number]]="","",Table2[[#This Row],[Reduction Bus NOx Emissions (tons/yr)]]*Table2[[#This Row],[Remaining Life:]])</f>
        <v/>
      </c>
      <c r="BF39" s="189" t="str">
        <f>IF(Table2[[#This Row],[Counter Number]]="","",IF(Table2[[#This Row],[Lifetime NOx Reduction (tons)]]=0,"NA",Table2[[#This Row],[Upgrade Cost Per Unit]]/Table2[[#This Row],[Lifetime NOx Reduction (tons)]]))</f>
        <v/>
      </c>
      <c r="BG39" s="190" t="str">
        <f>IF(Table2[[#This Row],[Counter Number]]="","",Table2[[#This Row],[Annual Miles Traveled:]]*VLOOKUP(Table2[[#This Row],[Engine Model Year:]],EF!$A$2:$G$27,4,FALSE))</f>
        <v/>
      </c>
      <c r="BH39" s="173" t="str">
        <f>IF(Table2[[#This Row],[Counter Number]]="","",Table2[[#This Row],[Annual Miles Traveled:]]*IF(Table2[[#This Row],[New Engine Fuel Type:]]="ULSD",VLOOKUP(Table2[[#This Row],[New Engine Model Year:]],EFTable[],4,FALSE),VLOOKUP(Table2[[#This Row],[New Engine Fuel Type:]],EFTable[],4,FALSE)))</f>
        <v/>
      </c>
      <c r="BI39" s="191" t="str">
        <f>IF(Table2[[#This Row],[Counter Number]]="","",Table2[[#This Row],[Old Bus PM2.5 Emissions (tons/yr)]]-Table2[[#This Row],[New Bus PM2.5 Emissions (tons/yr)]])</f>
        <v/>
      </c>
      <c r="BJ39" s="192" t="str">
        <f>IF(Table2[[#This Row],[Counter Number]]="","",Table2[[#This Row],[Reduction Bus PM2.5 Emissions (tons/yr)]]/Table2[[#This Row],[Old Bus PM2.5 Emissions (tons/yr)]])</f>
        <v/>
      </c>
      <c r="BK39" s="193" t="str">
        <f>IF(Table2[[#This Row],[Counter Number]]="","",Table2[[#This Row],[Reduction Bus PM2.5 Emissions (tons/yr)]]*Table2[[#This Row],[Remaining Life:]])</f>
        <v/>
      </c>
      <c r="BL39" s="194" t="str">
        <f>IF(Table2[[#This Row],[Counter Number]]="","",IF(Table2[[#This Row],[Lifetime PM2.5 Reduction (tons)]]=0,"NA",Table2[[#This Row],[Upgrade Cost Per Unit]]/Table2[[#This Row],[Lifetime PM2.5 Reduction (tons)]]))</f>
        <v/>
      </c>
      <c r="BM39" s="179" t="str">
        <f>IF(Table2[[#This Row],[Counter Number]]="","",Table2[[#This Row],[Annual Miles Traveled:]]*VLOOKUP(Table2[[#This Row],[Engine Model Year:]],EF!$A$2:$G$40,5,FALSE))</f>
        <v/>
      </c>
      <c r="BN39" s="173" t="str">
        <f>IF(Table2[[#This Row],[Counter Number]]="","",Table2[[#This Row],[Annual Miles Traveled:]]*IF(Table2[[#This Row],[New Engine Fuel Type:]]="ULSD",VLOOKUP(Table2[[#This Row],[New Engine Model Year:]],EFTable[],5,FALSE),VLOOKUP(Table2[[#This Row],[New Engine Fuel Type:]],EFTable[],5,FALSE)))</f>
        <v/>
      </c>
      <c r="BO39" s="190" t="str">
        <f>IF(Table2[[#This Row],[Counter Number]]="","",Table2[[#This Row],[Old Bus HC Emissions (tons/yr)]]-Table2[[#This Row],[New Bus HC Emissions (tons/yr)]])</f>
        <v/>
      </c>
      <c r="BP39" s="188" t="str">
        <f>IF(Table2[[#This Row],[Counter Number]]="","",Table2[[#This Row],[Reduction Bus HC Emissions (tons/yr)]]/Table2[[#This Row],[Old Bus HC Emissions (tons/yr)]])</f>
        <v/>
      </c>
      <c r="BQ39" s="193" t="str">
        <f>IF(Table2[[#This Row],[Counter Number]]="","",Table2[[#This Row],[Reduction Bus HC Emissions (tons/yr)]]*Table2[[#This Row],[Remaining Life:]])</f>
        <v/>
      </c>
      <c r="BR39" s="194" t="str">
        <f>IF(Table2[[#This Row],[Counter Number]]="","",IF(Table2[[#This Row],[Lifetime HC Reduction (tons)]]=0,"NA",Table2[[#This Row],[Upgrade Cost Per Unit]]/Table2[[#This Row],[Lifetime HC Reduction (tons)]]))</f>
        <v/>
      </c>
      <c r="BS39" s="191" t="str">
        <f>IF(Table2[[#This Row],[Counter Number]]="","",Table2[[#This Row],[Annual Miles Traveled:]]*VLOOKUP(Table2[[#This Row],[Engine Model Year:]],EF!$A$2:$G$27,6,FALSE))</f>
        <v/>
      </c>
      <c r="BT39" s="173" t="str">
        <f>IF(Table2[[#This Row],[Counter Number]]="","",Table2[[#This Row],[Annual Miles Traveled:]]*IF(Table2[[#This Row],[New Engine Fuel Type:]]="ULSD",VLOOKUP(Table2[[#This Row],[New Engine Model Year:]],EFTable[],6,FALSE),VLOOKUP(Table2[[#This Row],[New Engine Fuel Type:]],EFTable[],6,FALSE)))</f>
        <v/>
      </c>
      <c r="BU39" s="190" t="str">
        <f>IF(Table2[[#This Row],[Counter Number]]="","",Table2[[#This Row],[Old Bus CO Emissions (tons/yr)]]-Table2[[#This Row],[New Bus CO Emissions (tons/yr)]])</f>
        <v/>
      </c>
      <c r="BV39" s="188" t="str">
        <f>IF(Table2[[#This Row],[Counter Number]]="","",Table2[[#This Row],[Reduction Bus CO Emissions (tons/yr)]]/Table2[[#This Row],[Old Bus CO Emissions (tons/yr)]])</f>
        <v/>
      </c>
      <c r="BW39" s="193" t="str">
        <f>IF(Table2[[#This Row],[Counter Number]]="","",Table2[[#This Row],[Reduction Bus CO Emissions (tons/yr)]]*Table2[[#This Row],[Remaining Life:]])</f>
        <v/>
      </c>
      <c r="BX39" s="194" t="str">
        <f>IF(Table2[[#This Row],[Counter Number]]="","",IF(Table2[[#This Row],[Lifetime CO Reduction (tons)]]=0,"NA",Table2[[#This Row],[Upgrade Cost Per Unit]]/Table2[[#This Row],[Lifetime CO Reduction (tons)]]))</f>
        <v/>
      </c>
      <c r="BY39" s="180" t="str">
        <f>IF(Table2[[#This Row],[Counter Number]]="","",Table2[[#This Row],[Old ULSD Used (gal):]]*VLOOKUP(Table2[[#This Row],[Engine Model Year:]],EF!$A$2:$G$27,7,FALSE))</f>
        <v/>
      </c>
      <c r="BZ3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9" s="195" t="str">
        <f>IF(Table2[[#This Row],[Counter Number]]="","",Table2[[#This Row],[Old Bus CO2 Emissions (tons/yr)]]-Table2[[#This Row],[New Bus CO2 Emissions (tons/yr)]])</f>
        <v/>
      </c>
      <c r="CB39" s="188" t="str">
        <f>IF(Table2[[#This Row],[Counter Number]]="","",Table2[[#This Row],[Reduction Bus CO2 Emissions (tons/yr)]]/Table2[[#This Row],[Old Bus CO2 Emissions (tons/yr)]])</f>
        <v/>
      </c>
      <c r="CC39" s="195" t="str">
        <f>IF(Table2[[#This Row],[Counter Number]]="","",Table2[[#This Row],[Reduction Bus CO2 Emissions (tons/yr)]]*Table2[[#This Row],[Remaining Life:]])</f>
        <v/>
      </c>
      <c r="CD39" s="194" t="str">
        <f>IF(Table2[[#This Row],[Counter Number]]="","",IF(Table2[[#This Row],[Lifetime CO2 Reduction (tons)]]=0,"NA",Table2[[#This Row],[Upgrade Cost Per Unit]]/Table2[[#This Row],[Lifetime CO2 Reduction (tons)]]))</f>
        <v/>
      </c>
      <c r="CE39" s="182" t="str">
        <f>IF(Table2[[#This Row],[Counter Number]]="","",IF(Table2[[#This Row],[New ULSD Used (gal):]]="",Table2[[#This Row],[Old ULSD Used (gal):]],Table2[[#This Row],[Old ULSD Used (gal):]]-Table2[[#This Row],[New ULSD Used (gal):]]))</f>
        <v/>
      </c>
      <c r="CF39" s="196" t="str">
        <f>IF(Table2[[#This Row],[Counter Number]]="","",Table2[[#This Row],[Diesel Fuel Reduction (gal/yr)]]/Table2[[#This Row],[Old ULSD Used (gal):]])</f>
        <v/>
      </c>
      <c r="CG39" s="197" t="str">
        <f>IF(Table2[[#This Row],[Counter Number]]="","",Table2[[#This Row],[Diesel Fuel Reduction (gal/yr)]]*Table2[[#This Row],[Remaining Life:]])</f>
        <v/>
      </c>
    </row>
    <row r="40" spans="1:85" ht="15.45" customHeight="1">
      <c r="A40" s="184" t="str">
        <f>IF(A39&lt;Application!$D$24,A39+1,"")</f>
        <v/>
      </c>
      <c r="B40" s="60" t="str">
        <f>IF(Table2[[#This Row],[Counter Number]]="","",Application!$D$16)</f>
        <v/>
      </c>
      <c r="C40" s="60" t="str">
        <f>IF(Table2[[#This Row],[Counter Number]]="","",Application!$D$14)</f>
        <v/>
      </c>
      <c r="D40" s="60" t="str">
        <f>IF(Table2[[#This Row],[Counter Number]]="","",Table1[[#This Row],[Old Bus Number]])</f>
        <v/>
      </c>
      <c r="E40" s="60" t="str">
        <f>IF(Table2[[#This Row],[Counter Number]]="","",Application!$D$15)</f>
        <v/>
      </c>
      <c r="F40" s="60" t="str">
        <f>IF(Table2[[#This Row],[Counter Number]]="","","On Highway")</f>
        <v/>
      </c>
      <c r="G40" s="60" t="str">
        <f>IF(Table2[[#This Row],[Counter Number]]="","",I40)</f>
        <v/>
      </c>
      <c r="H40" s="60" t="str">
        <f>IF(Table2[[#This Row],[Counter Number]]="","","Georgia")</f>
        <v/>
      </c>
      <c r="I40" s="60" t="str">
        <f>IF(Table2[[#This Row],[Counter Number]]="","",Application!$D$16)</f>
        <v/>
      </c>
      <c r="J40" s="60" t="str">
        <f>IF(Table2[[#This Row],[Counter Number]]="","",Application!$D$21)</f>
        <v/>
      </c>
      <c r="K40" s="60" t="str">
        <f>IF(Table2[[#This Row],[Counter Number]]="","",Application!$J$21)</f>
        <v/>
      </c>
      <c r="L40" s="60" t="str">
        <f>IF(Table2[[#This Row],[Counter Number]]="","","School Bus")</f>
        <v/>
      </c>
      <c r="M40" s="60" t="str">
        <f>IF(Table2[[#This Row],[Counter Number]]="","","School Bus")</f>
        <v/>
      </c>
      <c r="N40" s="60" t="str">
        <f>IF(Table2[[#This Row],[Counter Number]]="","",1)</f>
        <v/>
      </c>
      <c r="O40" s="60" t="str">
        <f>IF(Table2[[#This Row],[Counter Number]]="","",Table1[[#This Row],[Vehicle Identification Number(s):]])</f>
        <v/>
      </c>
      <c r="P40" s="60" t="str">
        <f>IF(Table2[[#This Row],[Counter Number]]="","",Table1[[#This Row],[Old Bus Manufacturer:]])</f>
        <v/>
      </c>
      <c r="Q40" s="60" t="str">
        <f>IF(Table2[[#This Row],[Counter Number]]="","",Table1[[#This Row],[Vehicle Model:]])</f>
        <v/>
      </c>
      <c r="R40" s="165" t="str">
        <f>IF(Table2[[#This Row],[Counter Number]]="","",Table1[[#This Row],[Vehicle Model Year:]])</f>
        <v/>
      </c>
      <c r="S40" s="60" t="str">
        <f>IF(Table2[[#This Row],[Counter Number]]="","",Table1[[#This Row],[Engine Serial Number(s):]])</f>
        <v/>
      </c>
      <c r="T40" s="60" t="str">
        <f>IF(Table2[[#This Row],[Counter Number]]="","",Table1[[#This Row],[Engine Make:]])</f>
        <v/>
      </c>
      <c r="U40" s="60" t="str">
        <f>IF(Table2[[#This Row],[Counter Number]]="","",Table1[[#This Row],[Engine Model:]])</f>
        <v/>
      </c>
      <c r="V40" s="165" t="str">
        <f>IF(Table2[[#This Row],[Counter Number]]="","",Table1[[#This Row],[Engine Model Year:]])</f>
        <v/>
      </c>
      <c r="W40" s="60" t="str">
        <f>IF(Table2[[#This Row],[Counter Number]]="","","NA")</f>
        <v/>
      </c>
      <c r="X40" s="165" t="str">
        <f>IF(Table2[[#This Row],[Counter Number]]="","",Table1[[#This Row],[Engine Horsepower (HP):]])</f>
        <v/>
      </c>
      <c r="Y40" s="165" t="str">
        <f>IF(Table2[[#This Row],[Counter Number]]="","",Table1[[#This Row],[Engine Cylinder Displacement (L):]]&amp;" L")</f>
        <v/>
      </c>
      <c r="Z40" s="165" t="str">
        <f>IF(Table2[[#This Row],[Counter Number]]="","",Table1[[#This Row],[Engine Number of Cylinders:]])</f>
        <v/>
      </c>
      <c r="AA40" s="166" t="str">
        <f>IF(Table2[[#This Row],[Counter Number]]="","",Table1[[#This Row],[Engine Family Name:]])</f>
        <v/>
      </c>
      <c r="AB40" s="60" t="str">
        <f>IF(Table2[[#This Row],[Counter Number]]="","","ULSD")</f>
        <v/>
      </c>
      <c r="AC40" s="167" t="str">
        <f>IF(Table2[[#This Row],[Counter Number]]="","",Table2[[#This Row],[Annual Miles Traveled:]]/Table1[[#This Row],[Old Fuel (mpg)]])</f>
        <v/>
      </c>
      <c r="AD40" s="60" t="str">
        <f>IF(Table2[[#This Row],[Counter Number]]="","","NA")</f>
        <v/>
      </c>
      <c r="AE40" s="168" t="str">
        <f>IF(Table2[[#This Row],[Counter Number]]="","",Table1[[#This Row],[Annual Miles Traveled]])</f>
        <v/>
      </c>
      <c r="AF40" s="169" t="str">
        <f>IF(Table2[[#This Row],[Counter Number]]="","",Table1[[#This Row],[Annual Idling Hours:]])</f>
        <v/>
      </c>
      <c r="AG40" s="60" t="str">
        <f>IF(Table2[[#This Row],[Counter Number]]="","","NA")</f>
        <v/>
      </c>
      <c r="AH40" s="165" t="str">
        <f>IF(Table2[[#This Row],[Counter Number]]="","",IF(Application!$J$25="Set Policy",Table1[[#This Row],[Remaining Life (years)         Set Policy]],Table1[[#This Row],[Remaining Life (years)               Case-by-Case]]))</f>
        <v/>
      </c>
      <c r="AI40" s="165" t="str">
        <f>IF(Table2[[#This Row],[Counter Number]]="","",IF(Application!$J$25="Case-by-Case","NA",Table2[[#This Row],[Fiscal Year of EPA Funds Used:]]+Table2[[#This Row],[Remaining Life:]]))</f>
        <v/>
      </c>
      <c r="AJ40" s="165"/>
      <c r="AK40" s="170" t="str">
        <f>IF(Table2[[#This Row],[Counter Number]]="","",Application!$D$14+1)</f>
        <v/>
      </c>
      <c r="AL40" s="60" t="str">
        <f>IF(Table2[[#This Row],[Counter Number]]="","","Vehicle Replacement")</f>
        <v/>
      </c>
      <c r="AM4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0" s="171" t="str">
        <f>IF(Table2[[#This Row],[Counter Number]]="","",Table1[[#This Row],[Cost of New Bus:]])</f>
        <v/>
      </c>
      <c r="AO40" s="60" t="str">
        <f>IF(Table2[[#This Row],[Counter Number]]="","","NA")</f>
        <v/>
      </c>
      <c r="AP40" s="165" t="str">
        <f>IF(Table2[[#This Row],[Counter Number]]="","",Table1[[#This Row],[New Engine Model Year:]])</f>
        <v/>
      </c>
      <c r="AQ40" s="60" t="str">
        <f>IF(Table2[[#This Row],[Counter Number]]="","","NA")</f>
        <v/>
      </c>
      <c r="AR40" s="165" t="str">
        <f>IF(Table2[[#This Row],[Counter Number]]="","",Table1[[#This Row],[New Engine Horsepower (HP):]])</f>
        <v/>
      </c>
      <c r="AS40" s="60" t="str">
        <f>IF(Table2[[#This Row],[Counter Number]]="","","NA")</f>
        <v/>
      </c>
      <c r="AT40" s="165" t="str">
        <f>IF(Table2[[#This Row],[Counter Number]]="","",Table1[[#This Row],[New Engine Cylinder Displacement (L):]]&amp;" L")</f>
        <v/>
      </c>
      <c r="AU40" s="114" t="str">
        <f>IF(Table2[[#This Row],[Counter Number]]="","",Table1[[#This Row],[New Engine Number of Cylinders:]])</f>
        <v/>
      </c>
      <c r="AV40" s="60" t="str">
        <f>IF(Table2[[#This Row],[Counter Number]]="","",Table1[[#This Row],[New Engine Family Name:]])</f>
        <v/>
      </c>
      <c r="AW4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0" s="60" t="str">
        <f>IF(Table2[[#This Row],[Counter Number]]="","","NA")</f>
        <v/>
      </c>
      <c r="AY40" s="172" t="str">
        <f>IF(Table2[[#This Row],[Counter Number]]="","",IF(Table2[[#This Row],[New Engine Fuel Type:]]="ULSD",Table1[[#This Row],[Annual Miles Traveled]]/Table1[[#This Row],[New Fuel (mpg) if Diesel]],""))</f>
        <v/>
      </c>
      <c r="AZ40" s="60"/>
      <c r="BA40" s="173" t="str">
        <f>IF(Table2[[#This Row],[Counter Number]]="","",Table2[[#This Row],[Annual Miles Traveled:]]*VLOOKUP(Table2[[#This Row],[Engine Model Year:]],EFTable[],3,FALSE))</f>
        <v/>
      </c>
      <c r="BB40" s="173" t="str">
        <f>IF(Table2[[#This Row],[Counter Number]]="","",Table2[[#This Row],[Annual Miles Traveled:]]*IF(Table2[[#This Row],[New Engine Fuel Type:]]="ULSD",VLOOKUP(Table2[[#This Row],[New Engine Model Year:]],EFTable[],3,FALSE),VLOOKUP(Table2[[#This Row],[New Engine Fuel Type:]],EFTable[],3,FALSE)))</f>
        <v/>
      </c>
      <c r="BC40" s="187" t="str">
        <f>IF(Table2[[#This Row],[Counter Number]]="","",Table2[[#This Row],[Old Bus NOx Emissions (tons/yr)]]-Table2[[#This Row],[New Bus NOx Emissions (tons/yr)]])</f>
        <v/>
      </c>
      <c r="BD40" s="188" t="str">
        <f>IF(Table2[[#This Row],[Counter Number]]="","",Table2[[#This Row],[Reduction Bus NOx Emissions (tons/yr)]]/Table2[[#This Row],[Old Bus NOx Emissions (tons/yr)]])</f>
        <v/>
      </c>
      <c r="BE40" s="175" t="str">
        <f>IF(Table2[[#This Row],[Counter Number]]="","",Table2[[#This Row],[Reduction Bus NOx Emissions (tons/yr)]]*Table2[[#This Row],[Remaining Life:]])</f>
        <v/>
      </c>
      <c r="BF40" s="189" t="str">
        <f>IF(Table2[[#This Row],[Counter Number]]="","",IF(Table2[[#This Row],[Lifetime NOx Reduction (tons)]]=0,"NA",Table2[[#This Row],[Upgrade Cost Per Unit]]/Table2[[#This Row],[Lifetime NOx Reduction (tons)]]))</f>
        <v/>
      </c>
      <c r="BG40" s="190" t="str">
        <f>IF(Table2[[#This Row],[Counter Number]]="","",Table2[[#This Row],[Annual Miles Traveled:]]*VLOOKUP(Table2[[#This Row],[Engine Model Year:]],EF!$A$2:$G$27,4,FALSE))</f>
        <v/>
      </c>
      <c r="BH40" s="173" t="str">
        <f>IF(Table2[[#This Row],[Counter Number]]="","",Table2[[#This Row],[Annual Miles Traveled:]]*IF(Table2[[#This Row],[New Engine Fuel Type:]]="ULSD",VLOOKUP(Table2[[#This Row],[New Engine Model Year:]],EFTable[],4,FALSE),VLOOKUP(Table2[[#This Row],[New Engine Fuel Type:]],EFTable[],4,FALSE)))</f>
        <v/>
      </c>
      <c r="BI40" s="191" t="str">
        <f>IF(Table2[[#This Row],[Counter Number]]="","",Table2[[#This Row],[Old Bus PM2.5 Emissions (tons/yr)]]-Table2[[#This Row],[New Bus PM2.5 Emissions (tons/yr)]])</f>
        <v/>
      </c>
      <c r="BJ40" s="192" t="str">
        <f>IF(Table2[[#This Row],[Counter Number]]="","",Table2[[#This Row],[Reduction Bus PM2.5 Emissions (tons/yr)]]/Table2[[#This Row],[Old Bus PM2.5 Emissions (tons/yr)]])</f>
        <v/>
      </c>
      <c r="BK40" s="193" t="str">
        <f>IF(Table2[[#This Row],[Counter Number]]="","",Table2[[#This Row],[Reduction Bus PM2.5 Emissions (tons/yr)]]*Table2[[#This Row],[Remaining Life:]])</f>
        <v/>
      </c>
      <c r="BL40" s="194" t="str">
        <f>IF(Table2[[#This Row],[Counter Number]]="","",IF(Table2[[#This Row],[Lifetime PM2.5 Reduction (tons)]]=0,"NA",Table2[[#This Row],[Upgrade Cost Per Unit]]/Table2[[#This Row],[Lifetime PM2.5 Reduction (tons)]]))</f>
        <v/>
      </c>
      <c r="BM40" s="179" t="str">
        <f>IF(Table2[[#This Row],[Counter Number]]="","",Table2[[#This Row],[Annual Miles Traveled:]]*VLOOKUP(Table2[[#This Row],[Engine Model Year:]],EF!$A$2:$G$40,5,FALSE))</f>
        <v/>
      </c>
      <c r="BN40" s="173" t="str">
        <f>IF(Table2[[#This Row],[Counter Number]]="","",Table2[[#This Row],[Annual Miles Traveled:]]*IF(Table2[[#This Row],[New Engine Fuel Type:]]="ULSD",VLOOKUP(Table2[[#This Row],[New Engine Model Year:]],EFTable[],5,FALSE),VLOOKUP(Table2[[#This Row],[New Engine Fuel Type:]],EFTable[],5,FALSE)))</f>
        <v/>
      </c>
      <c r="BO40" s="190" t="str">
        <f>IF(Table2[[#This Row],[Counter Number]]="","",Table2[[#This Row],[Old Bus HC Emissions (tons/yr)]]-Table2[[#This Row],[New Bus HC Emissions (tons/yr)]])</f>
        <v/>
      </c>
      <c r="BP40" s="188" t="str">
        <f>IF(Table2[[#This Row],[Counter Number]]="","",Table2[[#This Row],[Reduction Bus HC Emissions (tons/yr)]]/Table2[[#This Row],[Old Bus HC Emissions (tons/yr)]])</f>
        <v/>
      </c>
      <c r="BQ40" s="193" t="str">
        <f>IF(Table2[[#This Row],[Counter Number]]="","",Table2[[#This Row],[Reduction Bus HC Emissions (tons/yr)]]*Table2[[#This Row],[Remaining Life:]])</f>
        <v/>
      </c>
      <c r="BR40" s="194" t="str">
        <f>IF(Table2[[#This Row],[Counter Number]]="","",IF(Table2[[#This Row],[Lifetime HC Reduction (tons)]]=0,"NA",Table2[[#This Row],[Upgrade Cost Per Unit]]/Table2[[#This Row],[Lifetime HC Reduction (tons)]]))</f>
        <v/>
      </c>
      <c r="BS40" s="191" t="str">
        <f>IF(Table2[[#This Row],[Counter Number]]="","",Table2[[#This Row],[Annual Miles Traveled:]]*VLOOKUP(Table2[[#This Row],[Engine Model Year:]],EF!$A$2:$G$27,6,FALSE))</f>
        <v/>
      </c>
      <c r="BT40" s="173" t="str">
        <f>IF(Table2[[#This Row],[Counter Number]]="","",Table2[[#This Row],[Annual Miles Traveled:]]*IF(Table2[[#This Row],[New Engine Fuel Type:]]="ULSD",VLOOKUP(Table2[[#This Row],[New Engine Model Year:]],EFTable[],6,FALSE),VLOOKUP(Table2[[#This Row],[New Engine Fuel Type:]],EFTable[],6,FALSE)))</f>
        <v/>
      </c>
      <c r="BU40" s="190" t="str">
        <f>IF(Table2[[#This Row],[Counter Number]]="","",Table2[[#This Row],[Old Bus CO Emissions (tons/yr)]]-Table2[[#This Row],[New Bus CO Emissions (tons/yr)]])</f>
        <v/>
      </c>
      <c r="BV40" s="188" t="str">
        <f>IF(Table2[[#This Row],[Counter Number]]="","",Table2[[#This Row],[Reduction Bus CO Emissions (tons/yr)]]/Table2[[#This Row],[Old Bus CO Emissions (tons/yr)]])</f>
        <v/>
      </c>
      <c r="BW40" s="193" t="str">
        <f>IF(Table2[[#This Row],[Counter Number]]="","",Table2[[#This Row],[Reduction Bus CO Emissions (tons/yr)]]*Table2[[#This Row],[Remaining Life:]])</f>
        <v/>
      </c>
      <c r="BX40" s="194" t="str">
        <f>IF(Table2[[#This Row],[Counter Number]]="","",IF(Table2[[#This Row],[Lifetime CO Reduction (tons)]]=0,"NA",Table2[[#This Row],[Upgrade Cost Per Unit]]/Table2[[#This Row],[Lifetime CO Reduction (tons)]]))</f>
        <v/>
      </c>
      <c r="BY40" s="180" t="str">
        <f>IF(Table2[[#This Row],[Counter Number]]="","",Table2[[#This Row],[Old ULSD Used (gal):]]*VLOOKUP(Table2[[#This Row],[Engine Model Year:]],EF!$A$2:$G$27,7,FALSE))</f>
        <v/>
      </c>
      <c r="BZ4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0" s="195" t="str">
        <f>IF(Table2[[#This Row],[Counter Number]]="","",Table2[[#This Row],[Old Bus CO2 Emissions (tons/yr)]]-Table2[[#This Row],[New Bus CO2 Emissions (tons/yr)]])</f>
        <v/>
      </c>
      <c r="CB40" s="188" t="str">
        <f>IF(Table2[[#This Row],[Counter Number]]="","",Table2[[#This Row],[Reduction Bus CO2 Emissions (tons/yr)]]/Table2[[#This Row],[Old Bus CO2 Emissions (tons/yr)]])</f>
        <v/>
      </c>
      <c r="CC40" s="195" t="str">
        <f>IF(Table2[[#This Row],[Counter Number]]="","",Table2[[#This Row],[Reduction Bus CO2 Emissions (tons/yr)]]*Table2[[#This Row],[Remaining Life:]])</f>
        <v/>
      </c>
      <c r="CD40" s="194" t="str">
        <f>IF(Table2[[#This Row],[Counter Number]]="","",IF(Table2[[#This Row],[Lifetime CO2 Reduction (tons)]]=0,"NA",Table2[[#This Row],[Upgrade Cost Per Unit]]/Table2[[#This Row],[Lifetime CO2 Reduction (tons)]]))</f>
        <v/>
      </c>
      <c r="CE40" s="182" t="str">
        <f>IF(Table2[[#This Row],[Counter Number]]="","",IF(Table2[[#This Row],[New ULSD Used (gal):]]="",Table2[[#This Row],[Old ULSD Used (gal):]],Table2[[#This Row],[Old ULSD Used (gal):]]-Table2[[#This Row],[New ULSD Used (gal):]]))</f>
        <v/>
      </c>
      <c r="CF40" s="196" t="str">
        <f>IF(Table2[[#This Row],[Counter Number]]="","",Table2[[#This Row],[Diesel Fuel Reduction (gal/yr)]]/Table2[[#This Row],[Old ULSD Used (gal):]])</f>
        <v/>
      </c>
      <c r="CG40" s="197" t="str">
        <f>IF(Table2[[#This Row],[Counter Number]]="","",Table2[[#This Row],[Diesel Fuel Reduction (gal/yr)]]*Table2[[#This Row],[Remaining Life:]])</f>
        <v/>
      </c>
    </row>
    <row r="41" spans="1:85" ht="15.45" customHeight="1">
      <c r="A41" s="184" t="str">
        <f>IF(A40&lt;Application!$D$24,A40+1,"")</f>
        <v/>
      </c>
      <c r="B41" s="60" t="str">
        <f>IF(Table2[[#This Row],[Counter Number]]="","",Application!$D$16)</f>
        <v/>
      </c>
      <c r="C41" s="60" t="str">
        <f>IF(Table2[[#This Row],[Counter Number]]="","",Application!$D$14)</f>
        <v/>
      </c>
      <c r="D41" s="60" t="str">
        <f>IF(Table2[[#This Row],[Counter Number]]="","",Table1[[#This Row],[Old Bus Number]])</f>
        <v/>
      </c>
      <c r="E41" s="60" t="str">
        <f>IF(Table2[[#This Row],[Counter Number]]="","",Application!$D$15)</f>
        <v/>
      </c>
      <c r="F41" s="60" t="str">
        <f>IF(Table2[[#This Row],[Counter Number]]="","","On Highway")</f>
        <v/>
      </c>
      <c r="G41" s="60" t="str">
        <f>IF(Table2[[#This Row],[Counter Number]]="","",I41)</f>
        <v/>
      </c>
      <c r="H41" s="60" t="str">
        <f>IF(Table2[[#This Row],[Counter Number]]="","","Georgia")</f>
        <v/>
      </c>
      <c r="I41" s="60" t="str">
        <f>IF(Table2[[#This Row],[Counter Number]]="","",Application!$D$16)</f>
        <v/>
      </c>
      <c r="J41" s="60" t="str">
        <f>IF(Table2[[#This Row],[Counter Number]]="","",Application!$D$21)</f>
        <v/>
      </c>
      <c r="K41" s="60" t="str">
        <f>IF(Table2[[#This Row],[Counter Number]]="","",Application!$J$21)</f>
        <v/>
      </c>
      <c r="L41" s="60" t="str">
        <f>IF(Table2[[#This Row],[Counter Number]]="","","School Bus")</f>
        <v/>
      </c>
      <c r="M41" s="60" t="str">
        <f>IF(Table2[[#This Row],[Counter Number]]="","","School Bus")</f>
        <v/>
      </c>
      <c r="N41" s="60" t="str">
        <f>IF(Table2[[#This Row],[Counter Number]]="","",1)</f>
        <v/>
      </c>
      <c r="O41" s="60" t="str">
        <f>IF(Table2[[#This Row],[Counter Number]]="","",Table1[[#This Row],[Vehicle Identification Number(s):]])</f>
        <v/>
      </c>
      <c r="P41" s="60" t="str">
        <f>IF(Table2[[#This Row],[Counter Number]]="","",Table1[[#This Row],[Old Bus Manufacturer:]])</f>
        <v/>
      </c>
      <c r="Q41" s="60" t="str">
        <f>IF(Table2[[#This Row],[Counter Number]]="","",Table1[[#This Row],[Vehicle Model:]])</f>
        <v/>
      </c>
      <c r="R41" s="165" t="str">
        <f>IF(Table2[[#This Row],[Counter Number]]="","",Table1[[#This Row],[Vehicle Model Year:]])</f>
        <v/>
      </c>
      <c r="S41" s="60" t="str">
        <f>IF(Table2[[#This Row],[Counter Number]]="","",Table1[[#This Row],[Engine Serial Number(s):]])</f>
        <v/>
      </c>
      <c r="T41" s="60" t="str">
        <f>IF(Table2[[#This Row],[Counter Number]]="","",Table1[[#This Row],[Engine Make:]])</f>
        <v/>
      </c>
      <c r="U41" s="60" t="str">
        <f>IF(Table2[[#This Row],[Counter Number]]="","",Table1[[#This Row],[Engine Model:]])</f>
        <v/>
      </c>
      <c r="V41" s="165" t="str">
        <f>IF(Table2[[#This Row],[Counter Number]]="","",Table1[[#This Row],[Engine Model Year:]])</f>
        <v/>
      </c>
      <c r="W41" s="60" t="str">
        <f>IF(Table2[[#This Row],[Counter Number]]="","","NA")</f>
        <v/>
      </c>
      <c r="X41" s="165" t="str">
        <f>IF(Table2[[#This Row],[Counter Number]]="","",Table1[[#This Row],[Engine Horsepower (HP):]])</f>
        <v/>
      </c>
      <c r="Y41" s="165" t="str">
        <f>IF(Table2[[#This Row],[Counter Number]]="","",Table1[[#This Row],[Engine Cylinder Displacement (L):]]&amp;" L")</f>
        <v/>
      </c>
      <c r="Z41" s="165" t="str">
        <f>IF(Table2[[#This Row],[Counter Number]]="","",Table1[[#This Row],[Engine Number of Cylinders:]])</f>
        <v/>
      </c>
      <c r="AA41" s="166" t="str">
        <f>IF(Table2[[#This Row],[Counter Number]]="","",Table1[[#This Row],[Engine Family Name:]])</f>
        <v/>
      </c>
      <c r="AB41" s="60" t="str">
        <f>IF(Table2[[#This Row],[Counter Number]]="","","ULSD")</f>
        <v/>
      </c>
      <c r="AC41" s="167" t="str">
        <f>IF(Table2[[#This Row],[Counter Number]]="","",Table2[[#This Row],[Annual Miles Traveled:]]/Table1[[#This Row],[Old Fuel (mpg)]])</f>
        <v/>
      </c>
      <c r="AD41" s="60" t="str">
        <f>IF(Table2[[#This Row],[Counter Number]]="","","NA")</f>
        <v/>
      </c>
      <c r="AE41" s="168" t="str">
        <f>IF(Table2[[#This Row],[Counter Number]]="","",Table1[[#This Row],[Annual Miles Traveled]])</f>
        <v/>
      </c>
      <c r="AF41" s="169" t="str">
        <f>IF(Table2[[#This Row],[Counter Number]]="","",Table1[[#This Row],[Annual Idling Hours:]])</f>
        <v/>
      </c>
      <c r="AG41" s="60" t="str">
        <f>IF(Table2[[#This Row],[Counter Number]]="","","NA")</f>
        <v/>
      </c>
      <c r="AH41" s="165" t="str">
        <f>IF(Table2[[#This Row],[Counter Number]]="","",IF(Application!$J$25="Set Policy",Table1[[#This Row],[Remaining Life (years)         Set Policy]],Table1[[#This Row],[Remaining Life (years)               Case-by-Case]]))</f>
        <v/>
      </c>
      <c r="AI41" s="165" t="str">
        <f>IF(Table2[[#This Row],[Counter Number]]="","",IF(Application!$J$25="Case-by-Case","NA",Table2[[#This Row],[Fiscal Year of EPA Funds Used:]]+Table2[[#This Row],[Remaining Life:]]))</f>
        <v/>
      </c>
      <c r="AJ41" s="165"/>
      <c r="AK41" s="170" t="str">
        <f>IF(Table2[[#This Row],[Counter Number]]="","",Application!$D$14+1)</f>
        <v/>
      </c>
      <c r="AL41" s="60" t="str">
        <f>IF(Table2[[#This Row],[Counter Number]]="","","Vehicle Replacement")</f>
        <v/>
      </c>
      <c r="AM4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1" s="171" t="str">
        <f>IF(Table2[[#This Row],[Counter Number]]="","",Table1[[#This Row],[Cost of New Bus:]])</f>
        <v/>
      </c>
      <c r="AO41" s="60" t="str">
        <f>IF(Table2[[#This Row],[Counter Number]]="","","NA")</f>
        <v/>
      </c>
      <c r="AP41" s="165" t="str">
        <f>IF(Table2[[#This Row],[Counter Number]]="","",Table1[[#This Row],[New Engine Model Year:]])</f>
        <v/>
      </c>
      <c r="AQ41" s="60" t="str">
        <f>IF(Table2[[#This Row],[Counter Number]]="","","NA")</f>
        <v/>
      </c>
      <c r="AR41" s="165" t="str">
        <f>IF(Table2[[#This Row],[Counter Number]]="","",Table1[[#This Row],[New Engine Horsepower (HP):]])</f>
        <v/>
      </c>
      <c r="AS41" s="60" t="str">
        <f>IF(Table2[[#This Row],[Counter Number]]="","","NA")</f>
        <v/>
      </c>
      <c r="AT41" s="165" t="str">
        <f>IF(Table2[[#This Row],[Counter Number]]="","",Table1[[#This Row],[New Engine Cylinder Displacement (L):]]&amp;" L")</f>
        <v/>
      </c>
      <c r="AU41" s="114" t="str">
        <f>IF(Table2[[#This Row],[Counter Number]]="","",Table1[[#This Row],[New Engine Number of Cylinders:]])</f>
        <v/>
      </c>
      <c r="AV41" s="60" t="str">
        <f>IF(Table2[[#This Row],[Counter Number]]="","",Table1[[#This Row],[New Engine Family Name:]])</f>
        <v/>
      </c>
      <c r="AW4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1" s="60" t="str">
        <f>IF(Table2[[#This Row],[Counter Number]]="","","NA")</f>
        <v/>
      </c>
      <c r="AY41" s="172" t="str">
        <f>IF(Table2[[#This Row],[Counter Number]]="","",IF(Table2[[#This Row],[New Engine Fuel Type:]]="ULSD",Table1[[#This Row],[Annual Miles Traveled]]/Table1[[#This Row],[New Fuel (mpg) if Diesel]],""))</f>
        <v/>
      </c>
      <c r="AZ41" s="60"/>
      <c r="BA41" s="173" t="str">
        <f>IF(Table2[[#This Row],[Counter Number]]="","",Table2[[#This Row],[Annual Miles Traveled:]]*VLOOKUP(Table2[[#This Row],[Engine Model Year:]],EFTable[],3,FALSE))</f>
        <v/>
      </c>
      <c r="BB41" s="173" t="str">
        <f>IF(Table2[[#This Row],[Counter Number]]="","",Table2[[#This Row],[Annual Miles Traveled:]]*IF(Table2[[#This Row],[New Engine Fuel Type:]]="ULSD",VLOOKUP(Table2[[#This Row],[New Engine Model Year:]],EFTable[],3,FALSE),VLOOKUP(Table2[[#This Row],[New Engine Fuel Type:]],EFTable[],3,FALSE)))</f>
        <v/>
      </c>
      <c r="BC41" s="187" t="str">
        <f>IF(Table2[[#This Row],[Counter Number]]="","",Table2[[#This Row],[Old Bus NOx Emissions (tons/yr)]]-Table2[[#This Row],[New Bus NOx Emissions (tons/yr)]])</f>
        <v/>
      </c>
      <c r="BD41" s="188" t="str">
        <f>IF(Table2[[#This Row],[Counter Number]]="","",Table2[[#This Row],[Reduction Bus NOx Emissions (tons/yr)]]/Table2[[#This Row],[Old Bus NOx Emissions (tons/yr)]])</f>
        <v/>
      </c>
      <c r="BE41" s="175" t="str">
        <f>IF(Table2[[#This Row],[Counter Number]]="","",Table2[[#This Row],[Reduction Bus NOx Emissions (tons/yr)]]*Table2[[#This Row],[Remaining Life:]])</f>
        <v/>
      </c>
      <c r="BF41" s="189" t="str">
        <f>IF(Table2[[#This Row],[Counter Number]]="","",IF(Table2[[#This Row],[Lifetime NOx Reduction (tons)]]=0,"NA",Table2[[#This Row],[Upgrade Cost Per Unit]]/Table2[[#This Row],[Lifetime NOx Reduction (tons)]]))</f>
        <v/>
      </c>
      <c r="BG41" s="190" t="str">
        <f>IF(Table2[[#This Row],[Counter Number]]="","",Table2[[#This Row],[Annual Miles Traveled:]]*VLOOKUP(Table2[[#This Row],[Engine Model Year:]],EF!$A$2:$G$27,4,FALSE))</f>
        <v/>
      </c>
      <c r="BH41" s="173" t="str">
        <f>IF(Table2[[#This Row],[Counter Number]]="","",Table2[[#This Row],[Annual Miles Traveled:]]*IF(Table2[[#This Row],[New Engine Fuel Type:]]="ULSD",VLOOKUP(Table2[[#This Row],[New Engine Model Year:]],EFTable[],4,FALSE),VLOOKUP(Table2[[#This Row],[New Engine Fuel Type:]],EFTable[],4,FALSE)))</f>
        <v/>
      </c>
      <c r="BI41" s="191" t="str">
        <f>IF(Table2[[#This Row],[Counter Number]]="","",Table2[[#This Row],[Old Bus PM2.5 Emissions (tons/yr)]]-Table2[[#This Row],[New Bus PM2.5 Emissions (tons/yr)]])</f>
        <v/>
      </c>
      <c r="BJ41" s="192" t="str">
        <f>IF(Table2[[#This Row],[Counter Number]]="","",Table2[[#This Row],[Reduction Bus PM2.5 Emissions (tons/yr)]]/Table2[[#This Row],[Old Bus PM2.5 Emissions (tons/yr)]])</f>
        <v/>
      </c>
      <c r="BK41" s="193" t="str">
        <f>IF(Table2[[#This Row],[Counter Number]]="","",Table2[[#This Row],[Reduction Bus PM2.5 Emissions (tons/yr)]]*Table2[[#This Row],[Remaining Life:]])</f>
        <v/>
      </c>
      <c r="BL41" s="194" t="str">
        <f>IF(Table2[[#This Row],[Counter Number]]="","",IF(Table2[[#This Row],[Lifetime PM2.5 Reduction (tons)]]=0,"NA",Table2[[#This Row],[Upgrade Cost Per Unit]]/Table2[[#This Row],[Lifetime PM2.5 Reduction (tons)]]))</f>
        <v/>
      </c>
      <c r="BM41" s="179" t="str">
        <f>IF(Table2[[#This Row],[Counter Number]]="","",Table2[[#This Row],[Annual Miles Traveled:]]*VLOOKUP(Table2[[#This Row],[Engine Model Year:]],EF!$A$2:$G$40,5,FALSE))</f>
        <v/>
      </c>
      <c r="BN41" s="173" t="str">
        <f>IF(Table2[[#This Row],[Counter Number]]="","",Table2[[#This Row],[Annual Miles Traveled:]]*IF(Table2[[#This Row],[New Engine Fuel Type:]]="ULSD",VLOOKUP(Table2[[#This Row],[New Engine Model Year:]],EFTable[],5,FALSE),VLOOKUP(Table2[[#This Row],[New Engine Fuel Type:]],EFTable[],5,FALSE)))</f>
        <v/>
      </c>
      <c r="BO41" s="190" t="str">
        <f>IF(Table2[[#This Row],[Counter Number]]="","",Table2[[#This Row],[Old Bus HC Emissions (tons/yr)]]-Table2[[#This Row],[New Bus HC Emissions (tons/yr)]])</f>
        <v/>
      </c>
      <c r="BP41" s="188" t="str">
        <f>IF(Table2[[#This Row],[Counter Number]]="","",Table2[[#This Row],[Reduction Bus HC Emissions (tons/yr)]]/Table2[[#This Row],[Old Bus HC Emissions (tons/yr)]])</f>
        <v/>
      </c>
      <c r="BQ41" s="193" t="str">
        <f>IF(Table2[[#This Row],[Counter Number]]="","",Table2[[#This Row],[Reduction Bus HC Emissions (tons/yr)]]*Table2[[#This Row],[Remaining Life:]])</f>
        <v/>
      </c>
      <c r="BR41" s="194" t="str">
        <f>IF(Table2[[#This Row],[Counter Number]]="","",IF(Table2[[#This Row],[Lifetime HC Reduction (tons)]]=0,"NA",Table2[[#This Row],[Upgrade Cost Per Unit]]/Table2[[#This Row],[Lifetime HC Reduction (tons)]]))</f>
        <v/>
      </c>
      <c r="BS41" s="191" t="str">
        <f>IF(Table2[[#This Row],[Counter Number]]="","",Table2[[#This Row],[Annual Miles Traveled:]]*VLOOKUP(Table2[[#This Row],[Engine Model Year:]],EF!$A$2:$G$27,6,FALSE))</f>
        <v/>
      </c>
      <c r="BT41" s="173" t="str">
        <f>IF(Table2[[#This Row],[Counter Number]]="","",Table2[[#This Row],[Annual Miles Traveled:]]*IF(Table2[[#This Row],[New Engine Fuel Type:]]="ULSD",VLOOKUP(Table2[[#This Row],[New Engine Model Year:]],EFTable[],6,FALSE),VLOOKUP(Table2[[#This Row],[New Engine Fuel Type:]],EFTable[],6,FALSE)))</f>
        <v/>
      </c>
      <c r="BU41" s="190" t="str">
        <f>IF(Table2[[#This Row],[Counter Number]]="","",Table2[[#This Row],[Old Bus CO Emissions (tons/yr)]]-Table2[[#This Row],[New Bus CO Emissions (tons/yr)]])</f>
        <v/>
      </c>
      <c r="BV41" s="188" t="str">
        <f>IF(Table2[[#This Row],[Counter Number]]="","",Table2[[#This Row],[Reduction Bus CO Emissions (tons/yr)]]/Table2[[#This Row],[Old Bus CO Emissions (tons/yr)]])</f>
        <v/>
      </c>
      <c r="BW41" s="193" t="str">
        <f>IF(Table2[[#This Row],[Counter Number]]="","",Table2[[#This Row],[Reduction Bus CO Emissions (tons/yr)]]*Table2[[#This Row],[Remaining Life:]])</f>
        <v/>
      </c>
      <c r="BX41" s="194" t="str">
        <f>IF(Table2[[#This Row],[Counter Number]]="","",IF(Table2[[#This Row],[Lifetime CO Reduction (tons)]]=0,"NA",Table2[[#This Row],[Upgrade Cost Per Unit]]/Table2[[#This Row],[Lifetime CO Reduction (tons)]]))</f>
        <v/>
      </c>
      <c r="BY41" s="180" t="str">
        <f>IF(Table2[[#This Row],[Counter Number]]="","",Table2[[#This Row],[Old ULSD Used (gal):]]*VLOOKUP(Table2[[#This Row],[Engine Model Year:]],EF!$A$2:$G$27,7,FALSE))</f>
        <v/>
      </c>
      <c r="BZ4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1" s="195" t="str">
        <f>IF(Table2[[#This Row],[Counter Number]]="","",Table2[[#This Row],[Old Bus CO2 Emissions (tons/yr)]]-Table2[[#This Row],[New Bus CO2 Emissions (tons/yr)]])</f>
        <v/>
      </c>
      <c r="CB41" s="188" t="str">
        <f>IF(Table2[[#This Row],[Counter Number]]="","",Table2[[#This Row],[Reduction Bus CO2 Emissions (tons/yr)]]/Table2[[#This Row],[Old Bus CO2 Emissions (tons/yr)]])</f>
        <v/>
      </c>
      <c r="CC41" s="195" t="str">
        <f>IF(Table2[[#This Row],[Counter Number]]="","",Table2[[#This Row],[Reduction Bus CO2 Emissions (tons/yr)]]*Table2[[#This Row],[Remaining Life:]])</f>
        <v/>
      </c>
      <c r="CD41" s="194" t="str">
        <f>IF(Table2[[#This Row],[Counter Number]]="","",IF(Table2[[#This Row],[Lifetime CO2 Reduction (tons)]]=0,"NA",Table2[[#This Row],[Upgrade Cost Per Unit]]/Table2[[#This Row],[Lifetime CO2 Reduction (tons)]]))</f>
        <v/>
      </c>
      <c r="CE41" s="182" t="str">
        <f>IF(Table2[[#This Row],[Counter Number]]="","",IF(Table2[[#This Row],[New ULSD Used (gal):]]="",Table2[[#This Row],[Old ULSD Used (gal):]],Table2[[#This Row],[Old ULSD Used (gal):]]-Table2[[#This Row],[New ULSD Used (gal):]]))</f>
        <v/>
      </c>
      <c r="CF41" s="196" t="str">
        <f>IF(Table2[[#This Row],[Counter Number]]="","",Table2[[#This Row],[Diesel Fuel Reduction (gal/yr)]]/Table2[[#This Row],[Old ULSD Used (gal):]])</f>
        <v/>
      </c>
      <c r="CG41" s="197" t="str">
        <f>IF(Table2[[#This Row],[Counter Number]]="","",Table2[[#This Row],[Diesel Fuel Reduction (gal/yr)]]*Table2[[#This Row],[Remaining Life:]])</f>
        <v/>
      </c>
    </row>
    <row r="42" spans="1:85" ht="15.45" customHeight="1">
      <c r="A42" s="184" t="str">
        <f>IF(A41&lt;Application!$D$24,A41+1,"")</f>
        <v/>
      </c>
      <c r="B42" s="60" t="str">
        <f>IF(Table2[[#This Row],[Counter Number]]="","",Application!$D$16)</f>
        <v/>
      </c>
      <c r="C42" s="60" t="str">
        <f>IF(Table2[[#This Row],[Counter Number]]="","",Application!$D$14)</f>
        <v/>
      </c>
      <c r="D42" s="60" t="str">
        <f>IF(Table2[[#This Row],[Counter Number]]="","",Table1[[#This Row],[Old Bus Number]])</f>
        <v/>
      </c>
      <c r="E42" s="60" t="str">
        <f>IF(Table2[[#This Row],[Counter Number]]="","",Application!$D$15)</f>
        <v/>
      </c>
      <c r="F42" s="60" t="str">
        <f>IF(Table2[[#This Row],[Counter Number]]="","","On Highway")</f>
        <v/>
      </c>
      <c r="G42" s="60" t="str">
        <f>IF(Table2[[#This Row],[Counter Number]]="","",I42)</f>
        <v/>
      </c>
      <c r="H42" s="60" t="str">
        <f>IF(Table2[[#This Row],[Counter Number]]="","","Georgia")</f>
        <v/>
      </c>
      <c r="I42" s="60" t="str">
        <f>IF(Table2[[#This Row],[Counter Number]]="","",Application!$D$16)</f>
        <v/>
      </c>
      <c r="J42" s="60" t="str">
        <f>IF(Table2[[#This Row],[Counter Number]]="","",Application!$D$21)</f>
        <v/>
      </c>
      <c r="K42" s="60" t="str">
        <f>IF(Table2[[#This Row],[Counter Number]]="","",Application!$J$21)</f>
        <v/>
      </c>
      <c r="L42" s="60" t="str">
        <f>IF(Table2[[#This Row],[Counter Number]]="","","School Bus")</f>
        <v/>
      </c>
      <c r="M42" s="60" t="str">
        <f>IF(Table2[[#This Row],[Counter Number]]="","","School Bus")</f>
        <v/>
      </c>
      <c r="N42" s="60" t="str">
        <f>IF(Table2[[#This Row],[Counter Number]]="","",1)</f>
        <v/>
      </c>
      <c r="O42" s="60" t="str">
        <f>IF(Table2[[#This Row],[Counter Number]]="","",Table1[[#This Row],[Vehicle Identification Number(s):]])</f>
        <v/>
      </c>
      <c r="P42" s="60" t="str">
        <f>IF(Table2[[#This Row],[Counter Number]]="","",Table1[[#This Row],[Old Bus Manufacturer:]])</f>
        <v/>
      </c>
      <c r="Q42" s="60" t="str">
        <f>IF(Table2[[#This Row],[Counter Number]]="","",Table1[[#This Row],[Vehicle Model:]])</f>
        <v/>
      </c>
      <c r="R42" s="165" t="str">
        <f>IF(Table2[[#This Row],[Counter Number]]="","",Table1[[#This Row],[Vehicle Model Year:]])</f>
        <v/>
      </c>
      <c r="S42" s="60" t="str">
        <f>IF(Table2[[#This Row],[Counter Number]]="","",Table1[[#This Row],[Engine Serial Number(s):]])</f>
        <v/>
      </c>
      <c r="T42" s="60" t="str">
        <f>IF(Table2[[#This Row],[Counter Number]]="","",Table1[[#This Row],[Engine Make:]])</f>
        <v/>
      </c>
      <c r="U42" s="60" t="str">
        <f>IF(Table2[[#This Row],[Counter Number]]="","",Table1[[#This Row],[Engine Model:]])</f>
        <v/>
      </c>
      <c r="V42" s="165" t="str">
        <f>IF(Table2[[#This Row],[Counter Number]]="","",Table1[[#This Row],[Engine Model Year:]])</f>
        <v/>
      </c>
      <c r="W42" s="60" t="str">
        <f>IF(Table2[[#This Row],[Counter Number]]="","","NA")</f>
        <v/>
      </c>
      <c r="X42" s="165" t="str">
        <f>IF(Table2[[#This Row],[Counter Number]]="","",Table1[[#This Row],[Engine Horsepower (HP):]])</f>
        <v/>
      </c>
      <c r="Y42" s="165" t="str">
        <f>IF(Table2[[#This Row],[Counter Number]]="","",Table1[[#This Row],[Engine Cylinder Displacement (L):]]&amp;" L")</f>
        <v/>
      </c>
      <c r="Z42" s="165" t="str">
        <f>IF(Table2[[#This Row],[Counter Number]]="","",Table1[[#This Row],[Engine Number of Cylinders:]])</f>
        <v/>
      </c>
      <c r="AA42" s="166" t="str">
        <f>IF(Table2[[#This Row],[Counter Number]]="","",Table1[[#This Row],[Engine Family Name:]])</f>
        <v/>
      </c>
      <c r="AB42" s="60" t="str">
        <f>IF(Table2[[#This Row],[Counter Number]]="","","ULSD")</f>
        <v/>
      </c>
      <c r="AC42" s="167" t="str">
        <f>IF(Table2[[#This Row],[Counter Number]]="","",Table2[[#This Row],[Annual Miles Traveled:]]/Table1[[#This Row],[Old Fuel (mpg)]])</f>
        <v/>
      </c>
      <c r="AD42" s="60" t="str">
        <f>IF(Table2[[#This Row],[Counter Number]]="","","NA")</f>
        <v/>
      </c>
      <c r="AE42" s="168" t="str">
        <f>IF(Table2[[#This Row],[Counter Number]]="","",Table1[[#This Row],[Annual Miles Traveled]])</f>
        <v/>
      </c>
      <c r="AF42" s="169" t="str">
        <f>IF(Table2[[#This Row],[Counter Number]]="","",Table1[[#This Row],[Annual Idling Hours:]])</f>
        <v/>
      </c>
      <c r="AG42" s="60" t="str">
        <f>IF(Table2[[#This Row],[Counter Number]]="","","NA")</f>
        <v/>
      </c>
      <c r="AH42" s="165" t="str">
        <f>IF(Table2[[#This Row],[Counter Number]]="","",IF(Application!$J$25="Set Policy",Table1[[#This Row],[Remaining Life (years)         Set Policy]],Table1[[#This Row],[Remaining Life (years)               Case-by-Case]]))</f>
        <v/>
      </c>
      <c r="AI42" s="165" t="str">
        <f>IF(Table2[[#This Row],[Counter Number]]="","",IF(Application!$J$25="Case-by-Case","NA",Table2[[#This Row],[Fiscal Year of EPA Funds Used:]]+Table2[[#This Row],[Remaining Life:]]))</f>
        <v/>
      </c>
      <c r="AJ42" s="165"/>
      <c r="AK42" s="170" t="str">
        <f>IF(Table2[[#This Row],[Counter Number]]="","",Application!$D$14+1)</f>
        <v/>
      </c>
      <c r="AL42" s="60" t="str">
        <f>IF(Table2[[#This Row],[Counter Number]]="","","Vehicle Replacement")</f>
        <v/>
      </c>
      <c r="AM4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2" s="171" t="str">
        <f>IF(Table2[[#This Row],[Counter Number]]="","",Table1[[#This Row],[Cost of New Bus:]])</f>
        <v/>
      </c>
      <c r="AO42" s="60" t="str">
        <f>IF(Table2[[#This Row],[Counter Number]]="","","NA")</f>
        <v/>
      </c>
      <c r="AP42" s="165" t="str">
        <f>IF(Table2[[#This Row],[Counter Number]]="","",Table1[[#This Row],[New Engine Model Year:]])</f>
        <v/>
      </c>
      <c r="AQ42" s="60" t="str">
        <f>IF(Table2[[#This Row],[Counter Number]]="","","NA")</f>
        <v/>
      </c>
      <c r="AR42" s="165" t="str">
        <f>IF(Table2[[#This Row],[Counter Number]]="","",Table1[[#This Row],[New Engine Horsepower (HP):]])</f>
        <v/>
      </c>
      <c r="AS42" s="60" t="str">
        <f>IF(Table2[[#This Row],[Counter Number]]="","","NA")</f>
        <v/>
      </c>
      <c r="AT42" s="165" t="str">
        <f>IF(Table2[[#This Row],[Counter Number]]="","",Table1[[#This Row],[New Engine Cylinder Displacement (L):]]&amp;" L")</f>
        <v/>
      </c>
      <c r="AU42" s="114" t="str">
        <f>IF(Table2[[#This Row],[Counter Number]]="","",Table1[[#This Row],[New Engine Number of Cylinders:]])</f>
        <v/>
      </c>
      <c r="AV42" s="60" t="str">
        <f>IF(Table2[[#This Row],[Counter Number]]="","",Table1[[#This Row],[New Engine Family Name:]])</f>
        <v/>
      </c>
      <c r="AW4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2" s="60" t="str">
        <f>IF(Table2[[#This Row],[Counter Number]]="","","NA")</f>
        <v/>
      </c>
      <c r="AY42" s="172" t="str">
        <f>IF(Table2[[#This Row],[Counter Number]]="","",IF(Table2[[#This Row],[New Engine Fuel Type:]]="ULSD",Table1[[#This Row],[Annual Miles Traveled]]/Table1[[#This Row],[New Fuel (mpg) if Diesel]],""))</f>
        <v/>
      </c>
      <c r="AZ42" s="60"/>
      <c r="BA42" s="173" t="str">
        <f>IF(Table2[[#This Row],[Counter Number]]="","",Table2[[#This Row],[Annual Miles Traveled:]]*VLOOKUP(Table2[[#This Row],[Engine Model Year:]],EFTable[],3,FALSE))</f>
        <v/>
      </c>
      <c r="BB42" s="173" t="str">
        <f>IF(Table2[[#This Row],[Counter Number]]="","",Table2[[#This Row],[Annual Miles Traveled:]]*IF(Table2[[#This Row],[New Engine Fuel Type:]]="ULSD",VLOOKUP(Table2[[#This Row],[New Engine Model Year:]],EFTable[],3,FALSE),VLOOKUP(Table2[[#This Row],[New Engine Fuel Type:]],EFTable[],3,FALSE)))</f>
        <v/>
      </c>
      <c r="BC42" s="187" t="str">
        <f>IF(Table2[[#This Row],[Counter Number]]="","",Table2[[#This Row],[Old Bus NOx Emissions (tons/yr)]]-Table2[[#This Row],[New Bus NOx Emissions (tons/yr)]])</f>
        <v/>
      </c>
      <c r="BD42" s="188" t="str">
        <f>IF(Table2[[#This Row],[Counter Number]]="","",Table2[[#This Row],[Reduction Bus NOx Emissions (tons/yr)]]/Table2[[#This Row],[Old Bus NOx Emissions (tons/yr)]])</f>
        <v/>
      </c>
      <c r="BE42" s="175" t="str">
        <f>IF(Table2[[#This Row],[Counter Number]]="","",Table2[[#This Row],[Reduction Bus NOx Emissions (tons/yr)]]*Table2[[#This Row],[Remaining Life:]])</f>
        <v/>
      </c>
      <c r="BF42" s="189" t="str">
        <f>IF(Table2[[#This Row],[Counter Number]]="","",IF(Table2[[#This Row],[Lifetime NOx Reduction (tons)]]=0,"NA",Table2[[#This Row],[Upgrade Cost Per Unit]]/Table2[[#This Row],[Lifetime NOx Reduction (tons)]]))</f>
        <v/>
      </c>
      <c r="BG42" s="190" t="str">
        <f>IF(Table2[[#This Row],[Counter Number]]="","",Table2[[#This Row],[Annual Miles Traveled:]]*VLOOKUP(Table2[[#This Row],[Engine Model Year:]],EF!$A$2:$G$27,4,FALSE))</f>
        <v/>
      </c>
      <c r="BH42" s="173" t="str">
        <f>IF(Table2[[#This Row],[Counter Number]]="","",Table2[[#This Row],[Annual Miles Traveled:]]*IF(Table2[[#This Row],[New Engine Fuel Type:]]="ULSD",VLOOKUP(Table2[[#This Row],[New Engine Model Year:]],EFTable[],4,FALSE),VLOOKUP(Table2[[#This Row],[New Engine Fuel Type:]],EFTable[],4,FALSE)))</f>
        <v/>
      </c>
      <c r="BI42" s="191" t="str">
        <f>IF(Table2[[#This Row],[Counter Number]]="","",Table2[[#This Row],[Old Bus PM2.5 Emissions (tons/yr)]]-Table2[[#This Row],[New Bus PM2.5 Emissions (tons/yr)]])</f>
        <v/>
      </c>
      <c r="BJ42" s="192" t="str">
        <f>IF(Table2[[#This Row],[Counter Number]]="","",Table2[[#This Row],[Reduction Bus PM2.5 Emissions (tons/yr)]]/Table2[[#This Row],[Old Bus PM2.5 Emissions (tons/yr)]])</f>
        <v/>
      </c>
      <c r="BK42" s="193" t="str">
        <f>IF(Table2[[#This Row],[Counter Number]]="","",Table2[[#This Row],[Reduction Bus PM2.5 Emissions (tons/yr)]]*Table2[[#This Row],[Remaining Life:]])</f>
        <v/>
      </c>
      <c r="BL42" s="194" t="str">
        <f>IF(Table2[[#This Row],[Counter Number]]="","",IF(Table2[[#This Row],[Lifetime PM2.5 Reduction (tons)]]=0,"NA",Table2[[#This Row],[Upgrade Cost Per Unit]]/Table2[[#This Row],[Lifetime PM2.5 Reduction (tons)]]))</f>
        <v/>
      </c>
      <c r="BM42" s="179" t="str">
        <f>IF(Table2[[#This Row],[Counter Number]]="","",Table2[[#This Row],[Annual Miles Traveled:]]*VLOOKUP(Table2[[#This Row],[Engine Model Year:]],EF!$A$2:$G$40,5,FALSE))</f>
        <v/>
      </c>
      <c r="BN42" s="173" t="str">
        <f>IF(Table2[[#This Row],[Counter Number]]="","",Table2[[#This Row],[Annual Miles Traveled:]]*IF(Table2[[#This Row],[New Engine Fuel Type:]]="ULSD",VLOOKUP(Table2[[#This Row],[New Engine Model Year:]],EFTable[],5,FALSE),VLOOKUP(Table2[[#This Row],[New Engine Fuel Type:]],EFTable[],5,FALSE)))</f>
        <v/>
      </c>
      <c r="BO42" s="190" t="str">
        <f>IF(Table2[[#This Row],[Counter Number]]="","",Table2[[#This Row],[Old Bus HC Emissions (tons/yr)]]-Table2[[#This Row],[New Bus HC Emissions (tons/yr)]])</f>
        <v/>
      </c>
      <c r="BP42" s="188" t="str">
        <f>IF(Table2[[#This Row],[Counter Number]]="","",Table2[[#This Row],[Reduction Bus HC Emissions (tons/yr)]]/Table2[[#This Row],[Old Bus HC Emissions (tons/yr)]])</f>
        <v/>
      </c>
      <c r="BQ42" s="193" t="str">
        <f>IF(Table2[[#This Row],[Counter Number]]="","",Table2[[#This Row],[Reduction Bus HC Emissions (tons/yr)]]*Table2[[#This Row],[Remaining Life:]])</f>
        <v/>
      </c>
      <c r="BR42" s="194" t="str">
        <f>IF(Table2[[#This Row],[Counter Number]]="","",IF(Table2[[#This Row],[Lifetime HC Reduction (tons)]]=0,"NA",Table2[[#This Row],[Upgrade Cost Per Unit]]/Table2[[#This Row],[Lifetime HC Reduction (tons)]]))</f>
        <v/>
      </c>
      <c r="BS42" s="191" t="str">
        <f>IF(Table2[[#This Row],[Counter Number]]="","",Table2[[#This Row],[Annual Miles Traveled:]]*VLOOKUP(Table2[[#This Row],[Engine Model Year:]],EF!$A$2:$G$27,6,FALSE))</f>
        <v/>
      </c>
      <c r="BT42" s="173" t="str">
        <f>IF(Table2[[#This Row],[Counter Number]]="","",Table2[[#This Row],[Annual Miles Traveled:]]*IF(Table2[[#This Row],[New Engine Fuel Type:]]="ULSD",VLOOKUP(Table2[[#This Row],[New Engine Model Year:]],EFTable[],6,FALSE),VLOOKUP(Table2[[#This Row],[New Engine Fuel Type:]],EFTable[],6,FALSE)))</f>
        <v/>
      </c>
      <c r="BU42" s="190" t="str">
        <f>IF(Table2[[#This Row],[Counter Number]]="","",Table2[[#This Row],[Old Bus CO Emissions (tons/yr)]]-Table2[[#This Row],[New Bus CO Emissions (tons/yr)]])</f>
        <v/>
      </c>
      <c r="BV42" s="188" t="str">
        <f>IF(Table2[[#This Row],[Counter Number]]="","",Table2[[#This Row],[Reduction Bus CO Emissions (tons/yr)]]/Table2[[#This Row],[Old Bus CO Emissions (tons/yr)]])</f>
        <v/>
      </c>
      <c r="BW42" s="193" t="str">
        <f>IF(Table2[[#This Row],[Counter Number]]="","",Table2[[#This Row],[Reduction Bus CO Emissions (tons/yr)]]*Table2[[#This Row],[Remaining Life:]])</f>
        <v/>
      </c>
      <c r="BX42" s="194" t="str">
        <f>IF(Table2[[#This Row],[Counter Number]]="","",IF(Table2[[#This Row],[Lifetime CO Reduction (tons)]]=0,"NA",Table2[[#This Row],[Upgrade Cost Per Unit]]/Table2[[#This Row],[Lifetime CO Reduction (tons)]]))</f>
        <v/>
      </c>
      <c r="BY42" s="180" t="str">
        <f>IF(Table2[[#This Row],[Counter Number]]="","",Table2[[#This Row],[Old ULSD Used (gal):]]*VLOOKUP(Table2[[#This Row],[Engine Model Year:]],EF!$A$2:$G$27,7,FALSE))</f>
        <v/>
      </c>
      <c r="BZ4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2" s="195" t="str">
        <f>IF(Table2[[#This Row],[Counter Number]]="","",Table2[[#This Row],[Old Bus CO2 Emissions (tons/yr)]]-Table2[[#This Row],[New Bus CO2 Emissions (tons/yr)]])</f>
        <v/>
      </c>
      <c r="CB42" s="188" t="str">
        <f>IF(Table2[[#This Row],[Counter Number]]="","",Table2[[#This Row],[Reduction Bus CO2 Emissions (tons/yr)]]/Table2[[#This Row],[Old Bus CO2 Emissions (tons/yr)]])</f>
        <v/>
      </c>
      <c r="CC42" s="195" t="str">
        <f>IF(Table2[[#This Row],[Counter Number]]="","",Table2[[#This Row],[Reduction Bus CO2 Emissions (tons/yr)]]*Table2[[#This Row],[Remaining Life:]])</f>
        <v/>
      </c>
      <c r="CD42" s="194" t="str">
        <f>IF(Table2[[#This Row],[Counter Number]]="","",IF(Table2[[#This Row],[Lifetime CO2 Reduction (tons)]]=0,"NA",Table2[[#This Row],[Upgrade Cost Per Unit]]/Table2[[#This Row],[Lifetime CO2 Reduction (tons)]]))</f>
        <v/>
      </c>
      <c r="CE42" s="182" t="str">
        <f>IF(Table2[[#This Row],[Counter Number]]="","",IF(Table2[[#This Row],[New ULSD Used (gal):]]="",Table2[[#This Row],[Old ULSD Used (gal):]],Table2[[#This Row],[Old ULSD Used (gal):]]-Table2[[#This Row],[New ULSD Used (gal):]]))</f>
        <v/>
      </c>
      <c r="CF42" s="196" t="str">
        <f>IF(Table2[[#This Row],[Counter Number]]="","",Table2[[#This Row],[Diesel Fuel Reduction (gal/yr)]]/Table2[[#This Row],[Old ULSD Used (gal):]])</f>
        <v/>
      </c>
      <c r="CG42" s="197" t="str">
        <f>IF(Table2[[#This Row],[Counter Number]]="","",Table2[[#This Row],[Diesel Fuel Reduction (gal/yr)]]*Table2[[#This Row],[Remaining Life:]])</f>
        <v/>
      </c>
    </row>
    <row r="43" spans="1:85">
      <c r="A43" s="184" t="str">
        <f>IF(A42&lt;Application!$D$24,A42+1,"")</f>
        <v/>
      </c>
      <c r="B43" s="60" t="str">
        <f>IF(Table2[[#This Row],[Counter Number]]="","",Application!$D$16)</f>
        <v/>
      </c>
      <c r="C43" s="60" t="str">
        <f>IF(Table2[[#This Row],[Counter Number]]="","",Application!$D$14)</f>
        <v/>
      </c>
      <c r="D43" s="60" t="str">
        <f>IF(Table2[[#This Row],[Counter Number]]="","",Table1[[#This Row],[Old Bus Number]])</f>
        <v/>
      </c>
      <c r="E43" s="60" t="str">
        <f>IF(Table2[[#This Row],[Counter Number]]="","",Application!$D$15)</f>
        <v/>
      </c>
      <c r="F43" s="60" t="str">
        <f>IF(Table2[[#This Row],[Counter Number]]="","","On Highway")</f>
        <v/>
      </c>
      <c r="G43" s="60" t="str">
        <f>IF(Table2[[#This Row],[Counter Number]]="","",I43)</f>
        <v/>
      </c>
      <c r="H43" s="60" t="str">
        <f>IF(Table2[[#This Row],[Counter Number]]="","","Georgia")</f>
        <v/>
      </c>
      <c r="I43" s="60" t="str">
        <f>IF(Table2[[#This Row],[Counter Number]]="","",Application!$D$16)</f>
        <v/>
      </c>
      <c r="J43" s="60" t="str">
        <f>IF(Table2[[#This Row],[Counter Number]]="","",Application!$D$21)</f>
        <v/>
      </c>
      <c r="K43" s="60" t="str">
        <f>IF(Table2[[#This Row],[Counter Number]]="","",Application!$J$21)</f>
        <v/>
      </c>
      <c r="L43" s="60" t="str">
        <f>IF(Table2[[#This Row],[Counter Number]]="","","School Bus")</f>
        <v/>
      </c>
      <c r="M43" s="60" t="str">
        <f>IF(Table2[[#This Row],[Counter Number]]="","","School Bus")</f>
        <v/>
      </c>
      <c r="N43" s="60" t="str">
        <f>IF(Table2[[#This Row],[Counter Number]]="","",1)</f>
        <v/>
      </c>
      <c r="O43" s="60" t="str">
        <f>IF(Table2[[#This Row],[Counter Number]]="","",Table1[[#This Row],[Vehicle Identification Number(s):]])</f>
        <v/>
      </c>
      <c r="P43" s="60" t="str">
        <f>IF(Table2[[#This Row],[Counter Number]]="","",Table1[[#This Row],[Old Bus Manufacturer:]])</f>
        <v/>
      </c>
      <c r="Q43" s="60" t="str">
        <f>IF(Table2[[#This Row],[Counter Number]]="","",Table1[[#This Row],[Vehicle Model:]])</f>
        <v/>
      </c>
      <c r="R43" s="165" t="str">
        <f>IF(Table2[[#This Row],[Counter Number]]="","",Table1[[#This Row],[Vehicle Model Year:]])</f>
        <v/>
      </c>
      <c r="S43" s="60" t="str">
        <f>IF(Table2[[#This Row],[Counter Number]]="","",Table1[[#This Row],[Engine Serial Number(s):]])</f>
        <v/>
      </c>
      <c r="T43" s="60" t="str">
        <f>IF(Table2[[#This Row],[Counter Number]]="","",Table1[[#This Row],[Engine Make:]])</f>
        <v/>
      </c>
      <c r="U43" s="60" t="str">
        <f>IF(Table2[[#This Row],[Counter Number]]="","",Table1[[#This Row],[Engine Model:]])</f>
        <v/>
      </c>
      <c r="V43" s="165" t="str">
        <f>IF(Table2[[#This Row],[Counter Number]]="","",Table1[[#This Row],[Engine Model Year:]])</f>
        <v/>
      </c>
      <c r="W43" s="60" t="str">
        <f>IF(Table2[[#This Row],[Counter Number]]="","","NA")</f>
        <v/>
      </c>
      <c r="X43" s="165" t="str">
        <f>IF(Table2[[#This Row],[Counter Number]]="","",Table1[[#This Row],[Engine Horsepower (HP):]])</f>
        <v/>
      </c>
      <c r="Y43" s="165" t="str">
        <f>IF(Table2[[#This Row],[Counter Number]]="","",Table1[[#This Row],[Engine Cylinder Displacement (L):]]&amp;" L")</f>
        <v/>
      </c>
      <c r="Z43" s="165" t="str">
        <f>IF(Table2[[#This Row],[Counter Number]]="","",Table1[[#This Row],[Engine Number of Cylinders:]])</f>
        <v/>
      </c>
      <c r="AA43" s="166" t="str">
        <f>IF(Table2[[#This Row],[Counter Number]]="","",Table1[[#This Row],[Engine Family Name:]])</f>
        <v/>
      </c>
      <c r="AB43" s="60" t="str">
        <f>IF(Table2[[#This Row],[Counter Number]]="","","ULSD")</f>
        <v/>
      </c>
      <c r="AC43" s="167" t="str">
        <f>IF(Table2[[#This Row],[Counter Number]]="","",Table2[[#This Row],[Annual Miles Traveled:]]/Table1[[#This Row],[Old Fuel (mpg)]])</f>
        <v/>
      </c>
      <c r="AD43" s="60" t="str">
        <f>IF(Table2[[#This Row],[Counter Number]]="","","NA")</f>
        <v/>
      </c>
      <c r="AE43" s="168" t="str">
        <f>IF(Table2[[#This Row],[Counter Number]]="","",Table1[[#This Row],[Annual Miles Traveled]])</f>
        <v/>
      </c>
      <c r="AF43" s="169" t="str">
        <f>IF(Table2[[#This Row],[Counter Number]]="","",Table1[[#This Row],[Annual Idling Hours:]])</f>
        <v/>
      </c>
      <c r="AG43" s="60" t="str">
        <f>IF(Table2[[#This Row],[Counter Number]]="","","NA")</f>
        <v/>
      </c>
      <c r="AH43" s="165" t="str">
        <f>IF(Table2[[#This Row],[Counter Number]]="","",IF(Application!$J$25="Set Policy",Table1[[#This Row],[Remaining Life (years)         Set Policy]],Table1[[#This Row],[Remaining Life (years)               Case-by-Case]]))</f>
        <v/>
      </c>
      <c r="AI43" s="165" t="str">
        <f>IF(Table2[[#This Row],[Counter Number]]="","",IF(Application!$J$25="Case-by-Case","NA",Table2[[#This Row],[Fiscal Year of EPA Funds Used:]]+Table2[[#This Row],[Remaining Life:]]))</f>
        <v/>
      </c>
      <c r="AJ43" s="165"/>
      <c r="AK43" s="170" t="str">
        <f>IF(Table2[[#This Row],[Counter Number]]="","",Application!$D$14+1)</f>
        <v/>
      </c>
      <c r="AL43" s="60" t="str">
        <f>IF(Table2[[#This Row],[Counter Number]]="","","Vehicle Replacement")</f>
        <v/>
      </c>
      <c r="AM4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3" s="171" t="str">
        <f>IF(Table2[[#This Row],[Counter Number]]="","",Table1[[#This Row],[Cost of New Bus:]])</f>
        <v/>
      </c>
      <c r="AO43" s="60" t="str">
        <f>IF(Table2[[#This Row],[Counter Number]]="","","NA")</f>
        <v/>
      </c>
      <c r="AP43" s="165" t="str">
        <f>IF(Table2[[#This Row],[Counter Number]]="","",Table1[[#This Row],[New Engine Model Year:]])</f>
        <v/>
      </c>
      <c r="AQ43" s="60" t="str">
        <f>IF(Table2[[#This Row],[Counter Number]]="","","NA")</f>
        <v/>
      </c>
      <c r="AR43" s="165" t="str">
        <f>IF(Table2[[#This Row],[Counter Number]]="","",Table1[[#This Row],[New Engine Horsepower (HP):]])</f>
        <v/>
      </c>
      <c r="AS43" s="60" t="str">
        <f>IF(Table2[[#This Row],[Counter Number]]="","","NA")</f>
        <v/>
      </c>
      <c r="AT43" s="165" t="str">
        <f>IF(Table2[[#This Row],[Counter Number]]="","",Table1[[#This Row],[New Engine Cylinder Displacement (L):]]&amp;" L")</f>
        <v/>
      </c>
      <c r="AU43" s="114" t="str">
        <f>IF(Table2[[#This Row],[Counter Number]]="","",Table1[[#This Row],[New Engine Number of Cylinders:]])</f>
        <v/>
      </c>
      <c r="AV43" s="60" t="str">
        <f>IF(Table2[[#This Row],[Counter Number]]="","",Table1[[#This Row],[New Engine Family Name:]])</f>
        <v/>
      </c>
      <c r="AW4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3" s="60" t="str">
        <f>IF(Table2[[#This Row],[Counter Number]]="","","NA")</f>
        <v/>
      </c>
      <c r="AY43" s="172" t="str">
        <f>IF(Table2[[#This Row],[Counter Number]]="","",IF(Table2[[#This Row],[New Engine Fuel Type:]]="ULSD",Table1[[#This Row],[Annual Miles Traveled]]/Table1[[#This Row],[New Fuel (mpg) if Diesel]],""))</f>
        <v/>
      </c>
      <c r="AZ43" s="60"/>
      <c r="BA43" s="173" t="str">
        <f>IF(Table2[[#This Row],[Counter Number]]="","",Table2[[#This Row],[Annual Miles Traveled:]]*VLOOKUP(Table2[[#This Row],[Engine Model Year:]],EFTable[],3,FALSE))</f>
        <v/>
      </c>
      <c r="BB43" s="173" t="str">
        <f>IF(Table2[[#This Row],[Counter Number]]="","",Table2[[#This Row],[Annual Miles Traveled:]]*IF(Table2[[#This Row],[New Engine Fuel Type:]]="ULSD",VLOOKUP(Table2[[#This Row],[New Engine Model Year:]],EFTable[],3,FALSE),VLOOKUP(Table2[[#This Row],[New Engine Fuel Type:]],EFTable[],3,FALSE)))</f>
        <v/>
      </c>
      <c r="BC43" s="187" t="str">
        <f>IF(Table2[[#This Row],[Counter Number]]="","",Table2[[#This Row],[Old Bus NOx Emissions (tons/yr)]]-Table2[[#This Row],[New Bus NOx Emissions (tons/yr)]])</f>
        <v/>
      </c>
      <c r="BD43" s="188" t="str">
        <f>IF(Table2[[#This Row],[Counter Number]]="","",Table2[[#This Row],[Reduction Bus NOx Emissions (tons/yr)]]/Table2[[#This Row],[Old Bus NOx Emissions (tons/yr)]])</f>
        <v/>
      </c>
      <c r="BE43" s="175" t="str">
        <f>IF(Table2[[#This Row],[Counter Number]]="","",Table2[[#This Row],[Reduction Bus NOx Emissions (tons/yr)]]*Table2[[#This Row],[Remaining Life:]])</f>
        <v/>
      </c>
      <c r="BF43" s="189" t="str">
        <f>IF(Table2[[#This Row],[Counter Number]]="","",IF(Table2[[#This Row],[Lifetime NOx Reduction (tons)]]=0,"NA",Table2[[#This Row],[Upgrade Cost Per Unit]]/Table2[[#This Row],[Lifetime NOx Reduction (tons)]]))</f>
        <v/>
      </c>
      <c r="BG43" s="190" t="str">
        <f>IF(Table2[[#This Row],[Counter Number]]="","",Table2[[#This Row],[Annual Miles Traveled:]]*VLOOKUP(Table2[[#This Row],[Engine Model Year:]],EF!$A$2:$G$27,4,FALSE))</f>
        <v/>
      </c>
      <c r="BH43" s="173" t="str">
        <f>IF(Table2[[#This Row],[Counter Number]]="","",Table2[[#This Row],[Annual Miles Traveled:]]*IF(Table2[[#This Row],[New Engine Fuel Type:]]="ULSD",VLOOKUP(Table2[[#This Row],[New Engine Model Year:]],EFTable[],4,FALSE),VLOOKUP(Table2[[#This Row],[New Engine Fuel Type:]],EFTable[],4,FALSE)))</f>
        <v/>
      </c>
      <c r="BI43" s="191" t="str">
        <f>IF(Table2[[#This Row],[Counter Number]]="","",Table2[[#This Row],[Old Bus PM2.5 Emissions (tons/yr)]]-Table2[[#This Row],[New Bus PM2.5 Emissions (tons/yr)]])</f>
        <v/>
      </c>
      <c r="BJ43" s="192" t="str">
        <f>IF(Table2[[#This Row],[Counter Number]]="","",Table2[[#This Row],[Reduction Bus PM2.5 Emissions (tons/yr)]]/Table2[[#This Row],[Old Bus PM2.5 Emissions (tons/yr)]])</f>
        <v/>
      </c>
      <c r="BK43" s="193" t="str">
        <f>IF(Table2[[#This Row],[Counter Number]]="","",Table2[[#This Row],[Reduction Bus PM2.5 Emissions (tons/yr)]]*Table2[[#This Row],[Remaining Life:]])</f>
        <v/>
      </c>
      <c r="BL43" s="194" t="str">
        <f>IF(Table2[[#This Row],[Counter Number]]="","",IF(Table2[[#This Row],[Lifetime PM2.5 Reduction (tons)]]=0,"NA",Table2[[#This Row],[Upgrade Cost Per Unit]]/Table2[[#This Row],[Lifetime PM2.5 Reduction (tons)]]))</f>
        <v/>
      </c>
      <c r="BM43" s="179" t="str">
        <f>IF(Table2[[#This Row],[Counter Number]]="","",Table2[[#This Row],[Annual Miles Traveled:]]*VLOOKUP(Table2[[#This Row],[Engine Model Year:]],EF!$A$2:$G$40,5,FALSE))</f>
        <v/>
      </c>
      <c r="BN43" s="173" t="str">
        <f>IF(Table2[[#This Row],[Counter Number]]="","",Table2[[#This Row],[Annual Miles Traveled:]]*IF(Table2[[#This Row],[New Engine Fuel Type:]]="ULSD",VLOOKUP(Table2[[#This Row],[New Engine Model Year:]],EFTable[],5,FALSE),VLOOKUP(Table2[[#This Row],[New Engine Fuel Type:]],EFTable[],5,FALSE)))</f>
        <v/>
      </c>
      <c r="BO43" s="190" t="str">
        <f>IF(Table2[[#This Row],[Counter Number]]="","",Table2[[#This Row],[Old Bus HC Emissions (tons/yr)]]-Table2[[#This Row],[New Bus HC Emissions (tons/yr)]])</f>
        <v/>
      </c>
      <c r="BP43" s="188" t="str">
        <f>IF(Table2[[#This Row],[Counter Number]]="","",Table2[[#This Row],[Reduction Bus HC Emissions (tons/yr)]]/Table2[[#This Row],[Old Bus HC Emissions (tons/yr)]])</f>
        <v/>
      </c>
      <c r="BQ43" s="193" t="str">
        <f>IF(Table2[[#This Row],[Counter Number]]="","",Table2[[#This Row],[Reduction Bus HC Emissions (tons/yr)]]*Table2[[#This Row],[Remaining Life:]])</f>
        <v/>
      </c>
      <c r="BR43" s="194" t="str">
        <f>IF(Table2[[#This Row],[Counter Number]]="","",IF(Table2[[#This Row],[Lifetime HC Reduction (tons)]]=0,"NA",Table2[[#This Row],[Upgrade Cost Per Unit]]/Table2[[#This Row],[Lifetime HC Reduction (tons)]]))</f>
        <v/>
      </c>
      <c r="BS43" s="191" t="str">
        <f>IF(Table2[[#This Row],[Counter Number]]="","",Table2[[#This Row],[Annual Miles Traveled:]]*VLOOKUP(Table2[[#This Row],[Engine Model Year:]],EF!$A$2:$G$27,6,FALSE))</f>
        <v/>
      </c>
      <c r="BT43" s="173" t="str">
        <f>IF(Table2[[#This Row],[Counter Number]]="","",Table2[[#This Row],[Annual Miles Traveled:]]*IF(Table2[[#This Row],[New Engine Fuel Type:]]="ULSD",VLOOKUP(Table2[[#This Row],[New Engine Model Year:]],EFTable[],6,FALSE),VLOOKUP(Table2[[#This Row],[New Engine Fuel Type:]],EFTable[],6,FALSE)))</f>
        <v/>
      </c>
      <c r="BU43" s="190" t="str">
        <f>IF(Table2[[#This Row],[Counter Number]]="","",Table2[[#This Row],[Old Bus CO Emissions (tons/yr)]]-Table2[[#This Row],[New Bus CO Emissions (tons/yr)]])</f>
        <v/>
      </c>
      <c r="BV43" s="188" t="str">
        <f>IF(Table2[[#This Row],[Counter Number]]="","",Table2[[#This Row],[Reduction Bus CO Emissions (tons/yr)]]/Table2[[#This Row],[Old Bus CO Emissions (tons/yr)]])</f>
        <v/>
      </c>
      <c r="BW43" s="193" t="str">
        <f>IF(Table2[[#This Row],[Counter Number]]="","",Table2[[#This Row],[Reduction Bus CO Emissions (tons/yr)]]*Table2[[#This Row],[Remaining Life:]])</f>
        <v/>
      </c>
      <c r="BX43" s="194" t="str">
        <f>IF(Table2[[#This Row],[Counter Number]]="","",IF(Table2[[#This Row],[Lifetime CO Reduction (tons)]]=0,"NA",Table2[[#This Row],[Upgrade Cost Per Unit]]/Table2[[#This Row],[Lifetime CO Reduction (tons)]]))</f>
        <v/>
      </c>
      <c r="BY43" s="180" t="str">
        <f>IF(Table2[[#This Row],[Counter Number]]="","",Table2[[#This Row],[Old ULSD Used (gal):]]*VLOOKUP(Table2[[#This Row],[Engine Model Year:]],EF!$A$2:$G$27,7,FALSE))</f>
        <v/>
      </c>
      <c r="BZ4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3" s="195" t="str">
        <f>IF(Table2[[#This Row],[Counter Number]]="","",Table2[[#This Row],[Old Bus CO2 Emissions (tons/yr)]]-Table2[[#This Row],[New Bus CO2 Emissions (tons/yr)]])</f>
        <v/>
      </c>
      <c r="CB43" s="188" t="str">
        <f>IF(Table2[[#This Row],[Counter Number]]="","",Table2[[#This Row],[Reduction Bus CO2 Emissions (tons/yr)]]/Table2[[#This Row],[Old Bus CO2 Emissions (tons/yr)]])</f>
        <v/>
      </c>
      <c r="CC43" s="195" t="str">
        <f>IF(Table2[[#This Row],[Counter Number]]="","",Table2[[#This Row],[Reduction Bus CO2 Emissions (tons/yr)]]*Table2[[#This Row],[Remaining Life:]])</f>
        <v/>
      </c>
      <c r="CD43" s="194" t="str">
        <f>IF(Table2[[#This Row],[Counter Number]]="","",IF(Table2[[#This Row],[Lifetime CO2 Reduction (tons)]]=0,"NA",Table2[[#This Row],[Upgrade Cost Per Unit]]/Table2[[#This Row],[Lifetime CO2 Reduction (tons)]]))</f>
        <v/>
      </c>
      <c r="CE43" s="182" t="str">
        <f>IF(Table2[[#This Row],[Counter Number]]="","",IF(Table2[[#This Row],[New ULSD Used (gal):]]="",Table2[[#This Row],[Old ULSD Used (gal):]],Table2[[#This Row],[Old ULSD Used (gal):]]-Table2[[#This Row],[New ULSD Used (gal):]]))</f>
        <v/>
      </c>
      <c r="CF43" s="196" t="str">
        <f>IF(Table2[[#This Row],[Counter Number]]="","",Table2[[#This Row],[Diesel Fuel Reduction (gal/yr)]]/Table2[[#This Row],[Old ULSD Used (gal):]])</f>
        <v/>
      </c>
      <c r="CG43" s="197" t="str">
        <f>IF(Table2[[#This Row],[Counter Number]]="","",Table2[[#This Row],[Diesel Fuel Reduction (gal/yr)]]*Table2[[#This Row],[Remaining Life:]])</f>
        <v/>
      </c>
    </row>
    <row r="44" spans="1:85">
      <c r="A44" s="184" t="str">
        <f>IF(A43&lt;Application!$D$24,A43+1,"")</f>
        <v/>
      </c>
      <c r="B44" s="60" t="str">
        <f>IF(Table2[[#This Row],[Counter Number]]="","",Application!$D$16)</f>
        <v/>
      </c>
      <c r="C44" s="60" t="str">
        <f>IF(Table2[[#This Row],[Counter Number]]="","",Application!$D$14)</f>
        <v/>
      </c>
      <c r="D44" s="60" t="str">
        <f>IF(Table2[[#This Row],[Counter Number]]="","",Table1[[#This Row],[Old Bus Number]])</f>
        <v/>
      </c>
      <c r="E44" s="60" t="str">
        <f>IF(Table2[[#This Row],[Counter Number]]="","",Application!$D$15)</f>
        <v/>
      </c>
      <c r="F44" s="60" t="str">
        <f>IF(Table2[[#This Row],[Counter Number]]="","","On Highway")</f>
        <v/>
      </c>
      <c r="G44" s="60" t="str">
        <f>IF(Table2[[#This Row],[Counter Number]]="","",I44)</f>
        <v/>
      </c>
      <c r="H44" s="60" t="str">
        <f>IF(Table2[[#This Row],[Counter Number]]="","","Georgia")</f>
        <v/>
      </c>
      <c r="I44" s="60" t="str">
        <f>IF(Table2[[#This Row],[Counter Number]]="","",Application!$D$16)</f>
        <v/>
      </c>
      <c r="J44" s="60" t="str">
        <f>IF(Table2[[#This Row],[Counter Number]]="","",Application!$D$21)</f>
        <v/>
      </c>
      <c r="K44" s="60" t="str">
        <f>IF(Table2[[#This Row],[Counter Number]]="","",Application!$J$21)</f>
        <v/>
      </c>
      <c r="L44" s="60" t="str">
        <f>IF(Table2[[#This Row],[Counter Number]]="","","School Bus")</f>
        <v/>
      </c>
      <c r="M44" s="60" t="str">
        <f>IF(Table2[[#This Row],[Counter Number]]="","","School Bus")</f>
        <v/>
      </c>
      <c r="N44" s="60" t="str">
        <f>IF(Table2[[#This Row],[Counter Number]]="","",1)</f>
        <v/>
      </c>
      <c r="O44" s="60" t="str">
        <f>IF(Table2[[#This Row],[Counter Number]]="","",Table1[[#This Row],[Vehicle Identification Number(s):]])</f>
        <v/>
      </c>
      <c r="P44" s="60" t="str">
        <f>IF(Table2[[#This Row],[Counter Number]]="","",Table1[[#This Row],[Old Bus Manufacturer:]])</f>
        <v/>
      </c>
      <c r="Q44" s="60" t="str">
        <f>IF(Table2[[#This Row],[Counter Number]]="","",Table1[[#This Row],[Vehicle Model:]])</f>
        <v/>
      </c>
      <c r="R44" s="165" t="str">
        <f>IF(Table2[[#This Row],[Counter Number]]="","",Table1[[#This Row],[Vehicle Model Year:]])</f>
        <v/>
      </c>
      <c r="S44" s="60" t="str">
        <f>IF(Table2[[#This Row],[Counter Number]]="","",Table1[[#This Row],[Engine Serial Number(s):]])</f>
        <v/>
      </c>
      <c r="T44" s="60" t="str">
        <f>IF(Table2[[#This Row],[Counter Number]]="","",Table1[[#This Row],[Engine Make:]])</f>
        <v/>
      </c>
      <c r="U44" s="60" t="str">
        <f>IF(Table2[[#This Row],[Counter Number]]="","",Table1[[#This Row],[Engine Model:]])</f>
        <v/>
      </c>
      <c r="V44" s="165" t="str">
        <f>IF(Table2[[#This Row],[Counter Number]]="","",Table1[[#This Row],[Engine Model Year:]])</f>
        <v/>
      </c>
      <c r="W44" s="60" t="str">
        <f>IF(Table2[[#This Row],[Counter Number]]="","","NA")</f>
        <v/>
      </c>
      <c r="X44" s="165" t="str">
        <f>IF(Table2[[#This Row],[Counter Number]]="","",Table1[[#This Row],[Engine Horsepower (HP):]])</f>
        <v/>
      </c>
      <c r="Y44" s="165" t="str">
        <f>IF(Table2[[#This Row],[Counter Number]]="","",Table1[[#This Row],[Engine Cylinder Displacement (L):]]&amp;" L")</f>
        <v/>
      </c>
      <c r="Z44" s="165" t="str">
        <f>IF(Table2[[#This Row],[Counter Number]]="","",Table1[[#This Row],[Engine Number of Cylinders:]])</f>
        <v/>
      </c>
      <c r="AA44" s="166" t="str">
        <f>IF(Table2[[#This Row],[Counter Number]]="","",Table1[[#This Row],[Engine Family Name:]])</f>
        <v/>
      </c>
      <c r="AB44" s="60" t="str">
        <f>IF(Table2[[#This Row],[Counter Number]]="","","ULSD")</f>
        <v/>
      </c>
      <c r="AC44" s="167" t="str">
        <f>IF(Table2[[#This Row],[Counter Number]]="","",Table2[[#This Row],[Annual Miles Traveled:]]/Table1[[#This Row],[Old Fuel (mpg)]])</f>
        <v/>
      </c>
      <c r="AD44" s="60" t="str">
        <f>IF(Table2[[#This Row],[Counter Number]]="","","NA")</f>
        <v/>
      </c>
      <c r="AE44" s="168" t="str">
        <f>IF(Table2[[#This Row],[Counter Number]]="","",Table1[[#This Row],[Annual Miles Traveled]])</f>
        <v/>
      </c>
      <c r="AF44" s="169" t="str">
        <f>IF(Table2[[#This Row],[Counter Number]]="","",Table1[[#This Row],[Annual Idling Hours:]])</f>
        <v/>
      </c>
      <c r="AG44" s="60" t="str">
        <f>IF(Table2[[#This Row],[Counter Number]]="","","NA")</f>
        <v/>
      </c>
      <c r="AH44" s="165" t="str">
        <f>IF(Table2[[#This Row],[Counter Number]]="","",IF(Application!$J$25="Set Policy",Table1[[#This Row],[Remaining Life (years)         Set Policy]],Table1[[#This Row],[Remaining Life (years)               Case-by-Case]]))</f>
        <v/>
      </c>
      <c r="AI44" s="165" t="str">
        <f>IF(Table2[[#This Row],[Counter Number]]="","",IF(Application!$J$25="Case-by-Case","NA",Table2[[#This Row],[Fiscal Year of EPA Funds Used:]]+Table2[[#This Row],[Remaining Life:]]))</f>
        <v/>
      </c>
      <c r="AJ44" s="165"/>
      <c r="AK44" s="170" t="str">
        <f>IF(Table2[[#This Row],[Counter Number]]="","",Application!$D$14+1)</f>
        <v/>
      </c>
      <c r="AL44" s="60" t="str">
        <f>IF(Table2[[#This Row],[Counter Number]]="","","Vehicle Replacement")</f>
        <v/>
      </c>
      <c r="AM4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4" s="171" t="str">
        <f>IF(Table2[[#This Row],[Counter Number]]="","",Table1[[#This Row],[Cost of New Bus:]])</f>
        <v/>
      </c>
      <c r="AO44" s="60" t="str">
        <f>IF(Table2[[#This Row],[Counter Number]]="","","NA")</f>
        <v/>
      </c>
      <c r="AP44" s="165" t="str">
        <f>IF(Table2[[#This Row],[Counter Number]]="","",Table1[[#This Row],[New Engine Model Year:]])</f>
        <v/>
      </c>
      <c r="AQ44" s="60" t="str">
        <f>IF(Table2[[#This Row],[Counter Number]]="","","NA")</f>
        <v/>
      </c>
      <c r="AR44" s="165" t="str">
        <f>IF(Table2[[#This Row],[Counter Number]]="","",Table1[[#This Row],[New Engine Horsepower (HP):]])</f>
        <v/>
      </c>
      <c r="AS44" s="60" t="str">
        <f>IF(Table2[[#This Row],[Counter Number]]="","","NA")</f>
        <v/>
      </c>
      <c r="AT44" s="165" t="str">
        <f>IF(Table2[[#This Row],[Counter Number]]="","",Table1[[#This Row],[New Engine Cylinder Displacement (L):]]&amp;" L")</f>
        <v/>
      </c>
      <c r="AU44" s="114" t="str">
        <f>IF(Table2[[#This Row],[Counter Number]]="","",Table1[[#This Row],[New Engine Number of Cylinders:]])</f>
        <v/>
      </c>
      <c r="AV44" s="60" t="str">
        <f>IF(Table2[[#This Row],[Counter Number]]="","",Table1[[#This Row],[New Engine Family Name:]])</f>
        <v/>
      </c>
      <c r="AW4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4" s="60" t="str">
        <f>IF(Table2[[#This Row],[Counter Number]]="","","NA")</f>
        <v/>
      </c>
      <c r="AY44" s="172" t="str">
        <f>IF(Table2[[#This Row],[Counter Number]]="","",IF(Table2[[#This Row],[New Engine Fuel Type:]]="ULSD",Table1[[#This Row],[Annual Miles Traveled]]/Table1[[#This Row],[New Fuel (mpg) if Diesel]],""))</f>
        <v/>
      </c>
      <c r="AZ44" s="60"/>
      <c r="BA44" s="173" t="str">
        <f>IF(Table2[[#This Row],[Counter Number]]="","",Table2[[#This Row],[Annual Miles Traveled:]]*VLOOKUP(Table2[[#This Row],[Engine Model Year:]],EFTable[],3,FALSE))</f>
        <v/>
      </c>
      <c r="BB44" s="173" t="str">
        <f>IF(Table2[[#This Row],[Counter Number]]="","",Table2[[#This Row],[Annual Miles Traveled:]]*IF(Table2[[#This Row],[New Engine Fuel Type:]]="ULSD",VLOOKUP(Table2[[#This Row],[New Engine Model Year:]],EFTable[],3,FALSE),VLOOKUP(Table2[[#This Row],[New Engine Fuel Type:]],EFTable[],3,FALSE)))</f>
        <v/>
      </c>
      <c r="BC44" s="187" t="str">
        <f>IF(Table2[[#This Row],[Counter Number]]="","",Table2[[#This Row],[Old Bus NOx Emissions (tons/yr)]]-Table2[[#This Row],[New Bus NOx Emissions (tons/yr)]])</f>
        <v/>
      </c>
      <c r="BD44" s="188" t="str">
        <f>IF(Table2[[#This Row],[Counter Number]]="","",Table2[[#This Row],[Reduction Bus NOx Emissions (tons/yr)]]/Table2[[#This Row],[Old Bus NOx Emissions (tons/yr)]])</f>
        <v/>
      </c>
      <c r="BE44" s="175" t="str">
        <f>IF(Table2[[#This Row],[Counter Number]]="","",Table2[[#This Row],[Reduction Bus NOx Emissions (tons/yr)]]*Table2[[#This Row],[Remaining Life:]])</f>
        <v/>
      </c>
      <c r="BF44" s="189" t="str">
        <f>IF(Table2[[#This Row],[Counter Number]]="","",IF(Table2[[#This Row],[Lifetime NOx Reduction (tons)]]=0,"NA",Table2[[#This Row],[Upgrade Cost Per Unit]]/Table2[[#This Row],[Lifetime NOx Reduction (tons)]]))</f>
        <v/>
      </c>
      <c r="BG44" s="190" t="str">
        <f>IF(Table2[[#This Row],[Counter Number]]="","",Table2[[#This Row],[Annual Miles Traveled:]]*VLOOKUP(Table2[[#This Row],[Engine Model Year:]],EF!$A$2:$G$27,4,FALSE))</f>
        <v/>
      </c>
      <c r="BH44" s="173" t="str">
        <f>IF(Table2[[#This Row],[Counter Number]]="","",Table2[[#This Row],[Annual Miles Traveled:]]*IF(Table2[[#This Row],[New Engine Fuel Type:]]="ULSD",VLOOKUP(Table2[[#This Row],[New Engine Model Year:]],EFTable[],4,FALSE),VLOOKUP(Table2[[#This Row],[New Engine Fuel Type:]],EFTable[],4,FALSE)))</f>
        <v/>
      </c>
      <c r="BI44" s="191" t="str">
        <f>IF(Table2[[#This Row],[Counter Number]]="","",Table2[[#This Row],[Old Bus PM2.5 Emissions (tons/yr)]]-Table2[[#This Row],[New Bus PM2.5 Emissions (tons/yr)]])</f>
        <v/>
      </c>
      <c r="BJ44" s="192" t="str">
        <f>IF(Table2[[#This Row],[Counter Number]]="","",Table2[[#This Row],[Reduction Bus PM2.5 Emissions (tons/yr)]]/Table2[[#This Row],[Old Bus PM2.5 Emissions (tons/yr)]])</f>
        <v/>
      </c>
      <c r="BK44" s="193" t="str">
        <f>IF(Table2[[#This Row],[Counter Number]]="","",Table2[[#This Row],[Reduction Bus PM2.5 Emissions (tons/yr)]]*Table2[[#This Row],[Remaining Life:]])</f>
        <v/>
      </c>
      <c r="BL44" s="194" t="str">
        <f>IF(Table2[[#This Row],[Counter Number]]="","",IF(Table2[[#This Row],[Lifetime PM2.5 Reduction (tons)]]=0,"NA",Table2[[#This Row],[Upgrade Cost Per Unit]]/Table2[[#This Row],[Lifetime PM2.5 Reduction (tons)]]))</f>
        <v/>
      </c>
      <c r="BM44" s="179" t="str">
        <f>IF(Table2[[#This Row],[Counter Number]]="","",Table2[[#This Row],[Annual Miles Traveled:]]*VLOOKUP(Table2[[#This Row],[Engine Model Year:]],EF!$A$2:$G$40,5,FALSE))</f>
        <v/>
      </c>
      <c r="BN44" s="173" t="str">
        <f>IF(Table2[[#This Row],[Counter Number]]="","",Table2[[#This Row],[Annual Miles Traveled:]]*IF(Table2[[#This Row],[New Engine Fuel Type:]]="ULSD",VLOOKUP(Table2[[#This Row],[New Engine Model Year:]],EFTable[],5,FALSE),VLOOKUP(Table2[[#This Row],[New Engine Fuel Type:]],EFTable[],5,FALSE)))</f>
        <v/>
      </c>
      <c r="BO44" s="190" t="str">
        <f>IF(Table2[[#This Row],[Counter Number]]="","",Table2[[#This Row],[Old Bus HC Emissions (tons/yr)]]-Table2[[#This Row],[New Bus HC Emissions (tons/yr)]])</f>
        <v/>
      </c>
      <c r="BP44" s="188" t="str">
        <f>IF(Table2[[#This Row],[Counter Number]]="","",Table2[[#This Row],[Reduction Bus HC Emissions (tons/yr)]]/Table2[[#This Row],[Old Bus HC Emissions (tons/yr)]])</f>
        <v/>
      </c>
      <c r="BQ44" s="193" t="str">
        <f>IF(Table2[[#This Row],[Counter Number]]="","",Table2[[#This Row],[Reduction Bus HC Emissions (tons/yr)]]*Table2[[#This Row],[Remaining Life:]])</f>
        <v/>
      </c>
      <c r="BR44" s="194" t="str">
        <f>IF(Table2[[#This Row],[Counter Number]]="","",IF(Table2[[#This Row],[Lifetime HC Reduction (tons)]]=0,"NA",Table2[[#This Row],[Upgrade Cost Per Unit]]/Table2[[#This Row],[Lifetime HC Reduction (tons)]]))</f>
        <v/>
      </c>
      <c r="BS44" s="191" t="str">
        <f>IF(Table2[[#This Row],[Counter Number]]="","",Table2[[#This Row],[Annual Miles Traveled:]]*VLOOKUP(Table2[[#This Row],[Engine Model Year:]],EF!$A$2:$G$27,6,FALSE))</f>
        <v/>
      </c>
      <c r="BT44" s="173" t="str">
        <f>IF(Table2[[#This Row],[Counter Number]]="","",Table2[[#This Row],[Annual Miles Traveled:]]*IF(Table2[[#This Row],[New Engine Fuel Type:]]="ULSD",VLOOKUP(Table2[[#This Row],[New Engine Model Year:]],EFTable[],6,FALSE),VLOOKUP(Table2[[#This Row],[New Engine Fuel Type:]],EFTable[],6,FALSE)))</f>
        <v/>
      </c>
      <c r="BU44" s="190" t="str">
        <f>IF(Table2[[#This Row],[Counter Number]]="","",Table2[[#This Row],[Old Bus CO Emissions (tons/yr)]]-Table2[[#This Row],[New Bus CO Emissions (tons/yr)]])</f>
        <v/>
      </c>
      <c r="BV44" s="188" t="str">
        <f>IF(Table2[[#This Row],[Counter Number]]="","",Table2[[#This Row],[Reduction Bus CO Emissions (tons/yr)]]/Table2[[#This Row],[Old Bus CO Emissions (tons/yr)]])</f>
        <v/>
      </c>
      <c r="BW44" s="193" t="str">
        <f>IF(Table2[[#This Row],[Counter Number]]="","",Table2[[#This Row],[Reduction Bus CO Emissions (tons/yr)]]*Table2[[#This Row],[Remaining Life:]])</f>
        <v/>
      </c>
      <c r="BX44" s="194" t="str">
        <f>IF(Table2[[#This Row],[Counter Number]]="","",IF(Table2[[#This Row],[Lifetime CO Reduction (tons)]]=0,"NA",Table2[[#This Row],[Upgrade Cost Per Unit]]/Table2[[#This Row],[Lifetime CO Reduction (tons)]]))</f>
        <v/>
      </c>
      <c r="BY44" s="180" t="str">
        <f>IF(Table2[[#This Row],[Counter Number]]="","",Table2[[#This Row],[Old ULSD Used (gal):]]*VLOOKUP(Table2[[#This Row],[Engine Model Year:]],EF!$A$2:$G$27,7,FALSE))</f>
        <v/>
      </c>
      <c r="BZ4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4" s="195" t="str">
        <f>IF(Table2[[#This Row],[Counter Number]]="","",Table2[[#This Row],[Old Bus CO2 Emissions (tons/yr)]]-Table2[[#This Row],[New Bus CO2 Emissions (tons/yr)]])</f>
        <v/>
      </c>
      <c r="CB44" s="188" t="str">
        <f>IF(Table2[[#This Row],[Counter Number]]="","",Table2[[#This Row],[Reduction Bus CO2 Emissions (tons/yr)]]/Table2[[#This Row],[Old Bus CO2 Emissions (tons/yr)]])</f>
        <v/>
      </c>
      <c r="CC44" s="195" t="str">
        <f>IF(Table2[[#This Row],[Counter Number]]="","",Table2[[#This Row],[Reduction Bus CO2 Emissions (tons/yr)]]*Table2[[#This Row],[Remaining Life:]])</f>
        <v/>
      </c>
      <c r="CD44" s="194" t="str">
        <f>IF(Table2[[#This Row],[Counter Number]]="","",IF(Table2[[#This Row],[Lifetime CO2 Reduction (tons)]]=0,"NA",Table2[[#This Row],[Upgrade Cost Per Unit]]/Table2[[#This Row],[Lifetime CO2 Reduction (tons)]]))</f>
        <v/>
      </c>
      <c r="CE44" s="182" t="str">
        <f>IF(Table2[[#This Row],[Counter Number]]="","",IF(Table2[[#This Row],[New ULSD Used (gal):]]="",Table2[[#This Row],[Old ULSD Used (gal):]],Table2[[#This Row],[Old ULSD Used (gal):]]-Table2[[#This Row],[New ULSD Used (gal):]]))</f>
        <v/>
      </c>
      <c r="CF44" s="196" t="str">
        <f>IF(Table2[[#This Row],[Counter Number]]="","",Table2[[#This Row],[Diesel Fuel Reduction (gal/yr)]]/Table2[[#This Row],[Old ULSD Used (gal):]])</f>
        <v/>
      </c>
      <c r="CG44" s="197" t="str">
        <f>IF(Table2[[#This Row],[Counter Number]]="","",Table2[[#This Row],[Diesel Fuel Reduction (gal/yr)]]*Table2[[#This Row],[Remaining Life:]])</f>
        <v/>
      </c>
    </row>
    <row r="45" spans="1:85">
      <c r="A45" s="184" t="str">
        <f>IF(A44&lt;Application!$D$24,A44+1,"")</f>
        <v/>
      </c>
      <c r="B45" s="60" t="str">
        <f>IF(Table2[[#This Row],[Counter Number]]="","",Application!$D$16)</f>
        <v/>
      </c>
      <c r="C45" s="60" t="str">
        <f>IF(Table2[[#This Row],[Counter Number]]="","",Application!$D$14)</f>
        <v/>
      </c>
      <c r="D45" s="60" t="str">
        <f>IF(Table2[[#This Row],[Counter Number]]="","",Table1[[#This Row],[Old Bus Number]])</f>
        <v/>
      </c>
      <c r="E45" s="60" t="str">
        <f>IF(Table2[[#This Row],[Counter Number]]="","",Application!$D$15)</f>
        <v/>
      </c>
      <c r="F45" s="60" t="str">
        <f>IF(Table2[[#This Row],[Counter Number]]="","","On Highway")</f>
        <v/>
      </c>
      <c r="G45" s="60" t="str">
        <f>IF(Table2[[#This Row],[Counter Number]]="","",I45)</f>
        <v/>
      </c>
      <c r="H45" s="60" t="str">
        <f>IF(Table2[[#This Row],[Counter Number]]="","","Georgia")</f>
        <v/>
      </c>
      <c r="I45" s="60" t="str">
        <f>IF(Table2[[#This Row],[Counter Number]]="","",Application!$D$16)</f>
        <v/>
      </c>
      <c r="J45" s="60" t="str">
        <f>IF(Table2[[#This Row],[Counter Number]]="","",Application!$D$21)</f>
        <v/>
      </c>
      <c r="K45" s="60" t="str">
        <f>IF(Table2[[#This Row],[Counter Number]]="","",Application!$J$21)</f>
        <v/>
      </c>
      <c r="L45" s="60" t="str">
        <f>IF(Table2[[#This Row],[Counter Number]]="","","School Bus")</f>
        <v/>
      </c>
      <c r="M45" s="60" t="str">
        <f>IF(Table2[[#This Row],[Counter Number]]="","","School Bus")</f>
        <v/>
      </c>
      <c r="N45" s="60" t="str">
        <f>IF(Table2[[#This Row],[Counter Number]]="","",1)</f>
        <v/>
      </c>
      <c r="O45" s="60" t="str">
        <f>IF(Table2[[#This Row],[Counter Number]]="","",Table1[[#This Row],[Vehicle Identification Number(s):]])</f>
        <v/>
      </c>
      <c r="P45" s="60" t="str">
        <f>IF(Table2[[#This Row],[Counter Number]]="","",Table1[[#This Row],[Old Bus Manufacturer:]])</f>
        <v/>
      </c>
      <c r="Q45" s="60" t="str">
        <f>IF(Table2[[#This Row],[Counter Number]]="","",Table1[[#This Row],[Vehicle Model:]])</f>
        <v/>
      </c>
      <c r="R45" s="165" t="str">
        <f>IF(Table2[[#This Row],[Counter Number]]="","",Table1[[#This Row],[Vehicle Model Year:]])</f>
        <v/>
      </c>
      <c r="S45" s="60" t="str">
        <f>IF(Table2[[#This Row],[Counter Number]]="","",Table1[[#This Row],[Engine Serial Number(s):]])</f>
        <v/>
      </c>
      <c r="T45" s="60" t="str">
        <f>IF(Table2[[#This Row],[Counter Number]]="","",Table1[[#This Row],[Engine Make:]])</f>
        <v/>
      </c>
      <c r="U45" s="60" t="str">
        <f>IF(Table2[[#This Row],[Counter Number]]="","",Table1[[#This Row],[Engine Model:]])</f>
        <v/>
      </c>
      <c r="V45" s="165" t="str">
        <f>IF(Table2[[#This Row],[Counter Number]]="","",Table1[[#This Row],[Engine Model Year:]])</f>
        <v/>
      </c>
      <c r="W45" s="60" t="str">
        <f>IF(Table2[[#This Row],[Counter Number]]="","","NA")</f>
        <v/>
      </c>
      <c r="X45" s="165" t="str">
        <f>IF(Table2[[#This Row],[Counter Number]]="","",Table1[[#This Row],[Engine Horsepower (HP):]])</f>
        <v/>
      </c>
      <c r="Y45" s="165" t="str">
        <f>IF(Table2[[#This Row],[Counter Number]]="","",Table1[[#This Row],[Engine Cylinder Displacement (L):]]&amp;" L")</f>
        <v/>
      </c>
      <c r="Z45" s="165" t="str">
        <f>IF(Table2[[#This Row],[Counter Number]]="","",Table1[[#This Row],[Engine Number of Cylinders:]])</f>
        <v/>
      </c>
      <c r="AA45" s="166" t="str">
        <f>IF(Table2[[#This Row],[Counter Number]]="","",Table1[[#This Row],[Engine Family Name:]])</f>
        <v/>
      </c>
      <c r="AB45" s="60" t="str">
        <f>IF(Table2[[#This Row],[Counter Number]]="","","ULSD")</f>
        <v/>
      </c>
      <c r="AC45" s="167" t="str">
        <f>IF(Table2[[#This Row],[Counter Number]]="","",Table2[[#This Row],[Annual Miles Traveled:]]/Table1[[#This Row],[Old Fuel (mpg)]])</f>
        <v/>
      </c>
      <c r="AD45" s="60" t="str">
        <f>IF(Table2[[#This Row],[Counter Number]]="","","NA")</f>
        <v/>
      </c>
      <c r="AE45" s="168" t="str">
        <f>IF(Table2[[#This Row],[Counter Number]]="","",Table1[[#This Row],[Annual Miles Traveled]])</f>
        <v/>
      </c>
      <c r="AF45" s="169" t="str">
        <f>IF(Table2[[#This Row],[Counter Number]]="","",Table1[[#This Row],[Annual Idling Hours:]])</f>
        <v/>
      </c>
      <c r="AG45" s="60" t="str">
        <f>IF(Table2[[#This Row],[Counter Number]]="","","NA")</f>
        <v/>
      </c>
      <c r="AH45" s="165" t="str">
        <f>IF(Table2[[#This Row],[Counter Number]]="","",IF(Application!$J$25="Set Policy",Table1[[#This Row],[Remaining Life (years)         Set Policy]],Table1[[#This Row],[Remaining Life (years)               Case-by-Case]]))</f>
        <v/>
      </c>
      <c r="AI45" s="165" t="str">
        <f>IF(Table2[[#This Row],[Counter Number]]="","",IF(Application!$J$25="Case-by-Case","NA",Table2[[#This Row],[Fiscal Year of EPA Funds Used:]]+Table2[[#This Row],[Remaining Life:]]))</f>
        <v/>
      </c>
      <c r="AJ45" s="165"/>
      <c r="AK45" s="170" t="str">
        <f>IF(Table2[[#This Row],[Counter Number]]="","",Application!$D$14+1)</f>
        <v/>
      </c>
      <c r="AL45" s="60" t="str">
        <f>IF(Table2[[#This Row],[Counter Number]]="","","Vehicle Replacement")</f>
        <v/>
      </c>
      <c r="AM4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5" s="171" t="str">
        <f>IF(Table2[[#This Row],[Counter Number]]="","",Table1[[#This Row],[Cost of New Bus:]])</f>
        <v/>
      </c>
      <c r="AO45" s="60" t="str">
        <f>IF(Table2[[#This Row],[Counter Number]]="","","NA")</f>
        <v/>
      </c>
      <c r="AP45" s="165" t="str">
        <f>IF(Table2[[#This Row],[Counter Number]]="","",Table1[[#This Row],[New Engine Model Year:]])</f>
        <v/>
      </c>
      <c r="AQ45" s="60" t="str">
        <f>IF(Table2[[#This Row],[Counter Number]]="","","NA")</f>
        <v/>
      </c>
      <c r="AR45" s="165" t="str">
        <f>IF(Table2[[#This Row],[Counter Number]]="","",Table1[[#This Row],[New Engine Horsepower (HP):]])</f>
        <v/>
      </c>
      <c r="AS45" s="60" t="str">
        <f>IF(Table2[[#This Row],[Counter Number]]="","","NA")</f>
        <v/>
      </c>
      <c r="AT45" s="165" t="str">
        <f>IF(Table2[[#This Row],[Counter Number]]="","",Table1[[#This Row],[New Engine Cylinder Displacement (L):]]&amp;" L")</f>
        <v/>
      </c>
      <c r="AU45" s="114" t="str">
        <f>IF(Table2[[#This Row],[Counter Number]]="","",Table1[[#This Row],[New Engine Number of Cylinders:]])</f>
        <v/>
      </c>
      <c r="AV45" s="60" t="str">
        <f>IF(Table2[[#This Row],[Counter Number]]="","",Table1[[#This Row],[New Engine Family Name:]])</f>
        <v/>
      </c>
      <c r="AW4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5" s="60" t="str">
        <f>IF(Table2[[#This Row],[Counter Number]]="","","NA")</f>
        <v/>
      </c>
      <c r="AY45" s="172" t="str">
        <f>IF(Table2[[#This Row],[Counter Number]]="","",IF(Table2[[#This Row],[New Engine Fuel Type:]]="ULSD",Table1[[#This Row],[Annual Miles Traveled]]/Table1[[#This Row],[New Fuel (mpg) if Diesel]],""))</f>
        <v/>
      </c>
      <c r="AZ45" s="60"/>
      <c r="BA45" s="173" t="str">
        <f>IF(Table2[[#This Row],[Counter Number]]="","",Table2[[#This Row],[Annual Miles Traveled:]]*VLOOKUP(Table2[[#This Row],[Engine Model Year:]],EFTable[],3,FALSE))</f>
        <v/>
      </c>
      <c r="BB45" s="173" t="str">
        <f>IF(Table2[[#This Row],[Counter Number]]="","",Table2[[#This Row],[Annual Miles Traveled:]]*IF(Table2[[#This Row],[New Engine Fuel Type:]]="ULSD",VLOOKUP(Table2[[#This Row],[New Engine Model Year:]],EFTable[],3,FALSE),VLOOKUP(Table2[[#This Row],[New Engine Fuel Type:]],EFTable[],3,FALSE)))</f>
        <v/>
      </c>
      <c r="BC45" s="187" t="str">
        <f>IF(Table2[[#This Row],[Counter Number]]="","",Table2[[#This Row],[Old Bus NOx Emissions (tons/yr)]]-Table2[[#This Row],[New Bus NOx Emissions (tons/yr)]])</f>
        <v/>
      </c>
      <c r="BD45" s="188" t="str">
        <f>IF(Table2[[#This Row],[Counter Number]]="","",Table2[[#This Row],[Reduction Bus NOx Emissions (tons/yr)]]/Table2[[#This Row],[Old Bus NOx Emissions (tons/yr)]])</f>
        <v/>
      </c>
      <c r="BE45" s="175" t="str">
        <f>IF(Table2[[#This Row],[Counter Number]]="","",Table2[[#This Row],[Reduction Bus NOx Emissions (tons/yr)]]*Table2[[#This Row],[Remaining Life:]])</f>
        <v/>
      </c>
      <c r="BF45" s="189" t="str">
        <f>IF(Table2[[#This Row],[Counter Number]]="","",IF(Table2[[#This Row],[Lifetime NOx Reduction (tons)]]=0,"NA",Table2[[#This Row],[Upgrade Cost Per Unit]]/Table2[[#This Row],[Lifetime NOx Reduction (tons)]]))</f>
        <v/>
      </c>
      <c r="BG45" s="190" t="str">
        <f>IF(Table2[[#This Row],[Counter Number]]="","",Table2[[#This Row],[Annual Miles Traveled:]]*VLOOKUP(Table2[[#This Row],[Engine Model Year:]],EF!$A$2:$G$27,4,FALSE))</f>
        <v/>
      </c>
      <c r="BH45" s="173" t="str">
        <f>IF(Table2[[#This Row],[Counter Number]]="","",Table2[[#This Row],[Annual Miles Traveled:]]*IF(Table2[[#This Row],[New Engine Fuel Type:]]="ULSD",VLOOKUP(Table2[[#This Row],[New Engine Model Year:]],EFTable[],4,FALSE),VLOOKUP(Table2[[#This Row],[New Engine Fuel Type:]],EFTable[],4,FALSE)))</f>
        <v/>
      </c>
      <c r="BI45" s="191" t="str">
        <f>IF(Table2[[#This Row],[Counter Number]]="","",Table2[[#This Row],[Old Bus PM2.5 Emissions (tons/yr)]]-Table2[[#This Row],[New Bus PM2.5 Emissions (tons/yr)]])</f>
        <v/>
      </c>
      <c r="BJ45" s="192" t="str">
        <f>IF(Table2[[#This Row],[Counter Number]]="","",Table2[[#This Row],[Reduction Bus PM2.5 Emissions (tons/yr)]]/Table2[[#This Row],[Old Bus PM2.5 Emissions (tons/yr)]])</f>
        <v/>
      </c>
      <c r="BK45" s="193" t="str">
        <f>IF(Table2[[#This Row],[Counter Number]]="","",Table2[[#This Row],[Reduction Bus PM2.5 Emissions (tons/yr)]]*Table2[[#This Row],[Remaining Life:]])</f>
        <v/>
      </c>
      <c r="BL45" s="194" t="str">
        <f>IF(Table2[[#This Row],[Counter Number]]="","",IF(Table2[[#This Row],[Lifetime PM2.5 Reduction (tons)]]=0,"NA",Table2[[#This Row],[Upgrade Cost Per Unit]]/Table2[[#This Row],[Lifetime PM2.5 Reduction (tons)]]))</f>
        <v/>
      </c>
      <c r="BM45" s="179" t="str">
        <f>IF(Table2[[#This Row],[Counter Number]]="","",Table2[[#This Row],[Annual Miles Traveled:]]*VLOOKUP(Table2[[#This Row],[Engine Model Year:]],EF!$A$2:$G$40,5,FALSE))</f>
        <v/>
      </c>
      <c r="BN45" s="173" t="str">
        <f>IF(Table2[[#This Row],[Counter Number]]="","",Table2[[#This Row],[Annual Miles Traveled:]]*IF(Table2[[#This Row],[New Engine Fuel Type:]]="ULSD",VLOOKUP(Table2[[#This Row],[New Engine Model Year:]],EFTable[],5,FALSE),VLOOKUP(Table2[[#This Row],[New Engine Fuel Type:]],EFTable[],5,FALSE)))</f>
        <v/>
      </c>
      <c r="BO45" s="190" t="str">
        <f>IF(Table2[[#This Row],[Counter Number]]="","",Table2[[#This Row],[Old Bus HC Emissions (tons/yr)]]-Table2[[#This Row],[New Bus HC Emissions (tons/yr)]])</f>
        <v/>
      </c>
      <c r="BP45" s="188" t="str">
        <f>IF(Table2[[#This Row],[Counter Number]]="","",Table2[[#This Row],[Reduction Bus HC Emissions (tons/yr)]]/Table2[[#This Row],[Old Bus HC Emissions (tons/yr)]])</f>
        <v/>
      </c>
      <c r="BQ45" s="193" t="str">
        <f>IF(Table2[[#This Row],[Counter Number]]="","",Table2[[#This Row],[Reduction Bus HC Emissions (tons/yr)]]*Table2[[#This Row],[Remaining Life:]])</f>
        <v/>
      </c>
      <c r="BR45" s="194" t="str">
        <f>IF(Table2[[#This Row],[Counter Number]]="","",IF(Table2[[#This Row],[Lifetime HC Reduction (tons)]]=0,"NA",Table2[[#This Row],[Upgrade Cost Per Unit]]/Table2[[#This Row],[Lifetime HC Reduction (tons)]]))</f>
        <v/>
      </c>
      <c r="BS45" s="191" t="str">
        <f>IF(Table2[[#This Row],[Counter Number]]="","",Table2[[#This Row],[Annual Miles Traveled:]]*VLOOKUP(Table2[[#This Row],[Engine Model Year:]],EF!$A$2:$G$27,6,FALSE))</f>
        <v/>
      </c>
      <c r="BT45" s="173" t="str">
        <f>IF(Table2[[#This Row],[Counter Number]]="","",Table2[[#This Row],[Annual Miles Traveled:]]*IF(Table2[[#This Row],[New Engine Fuel Type:]]="ULSD",VLOOKUP(Table2[[#This Row],[New Engine Model Year:]],EFTable[],6,FALSE),VLOOKUP(Table2[[#This Row],[New Engine Fuel Type:]],EFTable[],6,FALSE)))</f>
        <v/>
      </c>
      <c r="BU45" s="190" t="str">
        <f>IF(Table2[[#This Row],[Counter Number]]="","",Table2[[#This Row],[Old Bus CO Emissions (tons/yr)]]-Table2[[#This Row],[New Bus CO Emissions (tons/yr)]])</f>
        <v/>
      </c>
      <c r="BV45" s="188" t="str">
        <f>IF(Table2[[#This Row],[Counter Number]]="","",Table2[[#This Row],[Reduction Bus CO Emissions (tons/yr)]]/Table2[[#This Row],[Old Bus CO Emissions (tons/yr)]])</f>
        <v/>
      </c>
      <c r="BW45" s="193" t="str">
        <f>IF(Table2[[#This Row],[Counter Number]]="","",Table2[[#This Row],[Reduction Bus CO Emissions (tons/yr)]]*Table2[[#This Row],[Remaining Life:]])</f>
        <v/>
      </c>
      <c r="BX45" s="194" t="str">
        <f>IF(Table2[[#This Row],[Counter Number]]="","",IF(Table2[[#This Row],[Lifetime CO Reduction (tons)]]=0,"NA",Table2[[#This Row],[Upgrade Cost Per Unit]]/Table2[[#This Row],[Lifetime CO Reduction (tons)]]))</f>
        <v/>
      </c>
      <c r="BY45" s="180" t="str">
        <f>IF(Table2[[#This Row],[Counter Number]]="","",Table2[[#This Row],[Old ULSD Used (gal):]]*VLOOKUP(Table2[[#This Row],[Engine Model Year:]],EF!$A$2:$G$27,7,FALSE))</f>
        <v/>
      </c>
      <c r="BZ4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5" s="195" t="str">
        <f>IF(Table2[[#This Row],[Counter Number]]="","",Table2[[#This Row],[Old Bus CO2 Emissions (tons/yr)]]-Table2[[#This Row],[New Bus CO2 Emissions (tons/yr)]])</f>
        <v/>
      </c>
      <c r="CB45" s="188" t="str">
        <f>IF(Table2[[#This Row],[Counter Number]]="","",Table2[[#This Row],[Reduction Bus CO2 Emissions (tons/yr)]]/Table2[[#This Row],[Old Bus CO2 Emissions (tons/yr)]])</f>
        <v/>
      </c>
      <c r="CC45" s="195" t="str">
        <f>IF(Table2[[#This Row],[Counter Number]]="","",Table2[[#This Row],[Reduction Bus CO2 Emissions (tons/yr)]]*Table2[[#This Row],[Remaining Life:]])</f>
        <v/>
      </c>
      <c r="CD45" s="194" t="str">
        <f>IF(Table2[[#This Row],[Counter Number]]="","",IF(Table2[[#This Row],[Lifetime CO2 Reduction (tons)]]=0,"NA",Table2[[#This Row],[Upgrade Cost Per Unit]]/Table2[[#This Row],[Lifetime CO2 Reduction (tons)]]))</f>
        <v/>
      </c>
      <c r="CE45" s="182" t="str">
        <f>IF(Table2[[#This Row],[Counter Number]]="","",IF(Table2[[#This Row],[New ULSD Used (gal):]]="",Table2[[#This Row],[Old ULSD Used (gal):]],Table2[[#This Row],[Old ULSD Used (gal):]]-Table2[[#This Row],[New ULSD Used (gal):]]))</f>
        <v/>
      </c>
      <c r="CF45" s="196" t="str">
        <f>IF(Table2[[#This Row],[Counter Number]]="","",Table2[[#This Row],[Diesel Fuel Reduction (gal/yr)]]/Table2[[#This Row],[Old ULSD Used (gal):]])</f>
        <v/>
      </c>
      <c r="CG45" s="197" t="str">
        <f>IF(Table2[[#This Row],[Counter Number]]="","",Table2[[#This Row],[Diesel Fuel Reduction (gal/yr)]]*Table2[[#This Row],[Remaining Life:]])</f>
        <v/>
      </c>
    </row>
    <row r="46" spans="1:85">
      <c r="A46" s="184" t="str">
        <f>IF(A45&lt;Application!$D$24,A45+1,"")</f>
        <v/>
      </c>
      <c r="B46" s="60" t="str">
        <f>IF(Table2[[#This Row],[Counter Number]]="","",Application!$D$16)</f>
        <v/>
      </c>
      <c r="C46" s="60" t="str">
        <f>IF(Table2[[#This Row],[Counter Number]]="","",Application!$D$14)</f>
        <v/>
      </c>
      <c r="D46" s="60" t="str">
        <f>IF(Table2[[#This Row],[Counter Number]]="","",Table1[[#This Row],[Old Bus Number]])</f>
        <v/>
      </c>
      <c r="E46" s="60" t="str">
        <f>IF(Table2[[#This Row],[Counter Number]]="","",Application!$D$15)</f>
        <v/>
      </c>
      <c r="F46" s="60" t="str">
        <f>IF(Table2[[#This Row],[Counter Number]]="","","On Highway")</f>
        <v/>
      </c>
      <c r="G46" s="60" t="str">
        <f>IF(Table2[[#This Row],[Counter Number]]="","",I46)</f>
        <v/>
      </c>
      <c r="H46" s="60" t="str">
        <f>IF(Table2[[#This Row],[Counter Number]]="","","Georgia")</f>
        <v/>
      </c>
      <c r="I46" s="60" t="str">
        <f>IF(Table2[[#This Row],[Counter Number]]="","",Application!$D$16)</f>
        <v/>
      </c>
      <c r="J46" s="60" t="str">
        <f>IF(Table2[[#This Row],[Counter Number]]="","",Application!$D$21)</f>
        <v/>
      </c>
      <c r="K46" s="60" t="str">
        <f>IF(Table2[[#This Row],[Counter Number]]="","",Application!$J$21)</f>
        <v/>
      </c>
      <c r="L46" s="60" t="str">
        <f>IF(Table2[[#This Row],[Counter Number]]="","","School Bus")</f>
        <v/>
      </c>
      <c r="M46" s="60" t="str">
        <f>IF(Table2[[#This Row],[Counter Number]]="","","School Bus")</f>
        <v/>
      </c>
      <c r="N46" s="60" t="str">
        <f>IF(Table2[[#This Row],[Counter Number]]="","",1)</f>
        <v/>
      </c>
      <c r="O46" s="60" t="str">
        <f>IF(Table2[[#This Row],[Counter Number]]="","",Table1[[#This Row],[Vehicle Identification Number(s):]])</f>
        <v/>
      </c>
      <c r="P46" s="60" t="str">
        <f>IF(Table2[[#This Row],[Counter Number]]="","",Table1[[#This Row],[Old Bus Manufacturer:]])</f>
        <v/>
      </c>
      <c r="Q46" s="60" t="str">
        <f>IF(Table2[[#This Row],[Counter Number]]="","",Table1[[#This Row],[Vehicle Model:]])</f>
        <v/>
      </c>
      <c r="R46" s="165" t="str">
        <f>IF(Table2[[#This Row],[Counter Number]]="","",Table1[[#This Row],[Vehicle Model Year:]])</f>
        <v/>
      </c>
      <c r="S46" s="60" t="str">
        <f>IF(Table2[[#This Row],[Counter Number]]="","",Table1[[#This Row],[Engine Serial Number(s):]])</f>
        <v/>
      </c>
      <c r="T46" s="60" t="str">
        <f>IF(Table2[[#This Row],[Counter Number]]="","",Table1[[#This Row],[Engine Make:]])</f>
        <v/>
      </c>
      <c r="U46" s="60" t="str">
        <f>IF(Table2[[#This Row],[Counter Number]]="","",Table1[[#This Row],[Engine Model:]])</f>
        <v/>
      </c>
      <c r="V46" s="165" t="str">
        <f>IF(Table2[[#This Row],[Counter Number]]="","",Table1[[#This Row],[Engine Model Year:]])</f>
        <v/>
      </c>
      <c r="W46" s="60" t="str">
        <f>IF(Table2[[#This Row],[Counter Number]]="","","NA")</f>
        <v/>
      </c>
      <c r="X46" s="165" t="str">
        <f>IF(Table2[[#This Row],[Counter Number]]="","",Table1[[#This Row],[Engine Horsepower (HP):]])</f>
        <v/>
      </c>
      <c r="Y46" s="165" t="str">
        <f>IF(Table2[[#This Row],[Counter Number]]="","",Table1[[#This Row],[Engine Cylinder Displacement (L):]]&amp;" L")</f>
        <v/>
      </c>
      <c r="Z46" s="165" t="str">
        <f>IF(Table2[[#This Row],[Counter Number]]="","",Table1[[#This Row],[Engine Number of Cylinders:]])</f>
        <v/>
      </c>
      <c r="AA46" s="166" t="str">
        <f>IF(Table2[[#This Row],[Counter Number]]="","",Table1[[#This Row],[Engine Family Name:]])</f>
        <v/>
      </c>
      <c r="AB46" s="60" t="str">
        <f>IF(Table2[[#This Row],[Counter Number]]="","","ULSD")</f>
        <v/>
      </c>
      <c r="AC46" s="167" t="str">
        <f>IF(Table2[[#This Row],[Counter Number]]="","",Table2[[#This Row],[Annual Miles Traveled:]]/Table1[[#This Row],[Old Fuel (mpg)]])</f>
        <v/>
      </c>
      <c r="AD46" s="60" t="str">
        <f>IF(Table2[[#This Row],[Counter Number]]="","","NA")</f>
        <v/>
      </c>
      <c r="AE46" s="168" t="str">
        <f>IF(Table2[[#This Row],[Counter Number]]="","",Table1[[#This Row],[Annual Miles Traveled]])</f>
        <v/>
      </c>
      <c r="AF46" s="169" t="str">
        <f>IF(Table2[[#This Row],[Counter Number]]="","",Table1[[#This Row],[Annual Idling Hours:]])</f>
        <v/>
      </c>
      <c r="AG46" s="60" t="str">
        <f>IF(Table2[[#This Row],[Counter Number]]="","","NA")</f>
        <v/>
      </c>
      <c r="AH46" s="165" t="str">
        <f>IF(Table2[[#This Row],[Counter Number]]="","",IF(Application!$J$25="Set Policy",Table1[[#This Row],[Remaining Life (years)         Set Policy]],Table1[[#This Row],[Remaining Life (years)               Case-by-Case]]))</f>
        <v/>
      </c>
      <c r="AI46" s="165" t="str">
        <f>IF(Table2[[#This Row],[Counter Number]]="","",IF(Application!$J$25="Case-by-Case","NA",Table2[[#This Row],[Fiscal Year of EPA Funds Used:]]+Table2[[#This Row],[Remaining Life:]]))</f>
        <v/>
      </c>
      <c r="AJ46" s="165"/>
      <c r="AK46" s="170" t="str">
        <f>IF(Table2[[#This Row],[Counter Number]]="","",Application!$D$14+1)</f>
        <v/>
      </c>
      <c r="AL46" s="60" t="str">
        <f>IF(Table2[[#This Row],[Counter Number]]="","","Vehicle Replacement")</f>
        <v/>
      </c>
      <c r="AM4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6" s="171" t="str">
        <f>IF(Table2[[#This Row],[Counter Number]]="","",Table1[[#This Row],[Cost of New Bus:]])</f>
        <v/>
      </c>
      <c r="AO46" s="60" t="str">
        <f>IF(Table2[[#This Row],[Counter Number]]="","","NA")</f>
        <v/>
      </c>
      <c r="AP46" s="165" t="str">
        <f>IF(Table2[[#This Row],[Counter Number]]="","",Table1[[#This Row],[New Engine Model Year:]])</f>
        <v/>
      </c>
      <c r="AQ46" s="60" t="str">
        <f>IF(Table2[[#This Row],[Counter Number]]="","","NA")</f>
        <v/>
      </c>
      <c r="AR46" s="165" t="str">
        <f>IF(Table2[[#This Row],[Counter Number]]="","",Table1[[#This Row],[New Engine Horsepower (HP):]])</f>
        <v/>
      </c>
      <c r="AS46" s="60" t="str">
        <f>IF(Table2[[#This Row],[Counter Number]]="","","NA")</f>
        <v/>
      </c>
      <c r="AT46" s="165" t="str">
        <f>IF(Table2[[#This Row],[Counter Number]]="","",Table1[[#This Row],[New Engine Cylinder Displacement (L):]]&amp;" L")</f>
        <v/>
      </c>
      <c r="AU46" s="114" t="str">
        <f>IF(Table2[[#This Row],[Counter Number]]="","",Table1[[#This Row],[New Engine Number of Cylinders:]])</f>
        <v/>
      </c>
      <c r="AV46" s="60" t="str">
        <f>IF(Table2[[#This Row],[Counter Number]]="","",Table1[[#This Row],[New Engine Family Name:]])</f>
        <v/>
      </c>
      <c r="AW4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6" s="60" t="str">
        <f>IF(Table2[[#This Row],[Counter Number]]="","","NA")</f>
        <v/>
      </c>
      <c r="AY46" s="172" t="str">
        <f>IF(Table2[[#This Row],[Counter Number]]="","",IF(Table2[[#This Row],[New Engine Fuel Type:]]="ULSD",Table1[[#This Row],[Annual Miles Traveled]]/Table1[[#This Row],[New Fuel (mpg) if Diesel]],""))</f>
        <v/>
      </c>
      <c r="AZ46" s="60"/>
      <c r="BA46" s="173" t="str">
        <f>IF(Table2[[#This Row],[Counter Number]]="","",Table2[[#This Row],[Annual Miles Traveled:]]*VLOOKUP(Table2[[#This Row],[Engine Model Year:]],EFTable[],3,FALSE))</f>
        <v/>
      </c>
      <c r="BB46" s="173" t="str">
        <f>IF(Table2[[#This Row],[Counter Number]]="","",Table2[[#This Row],[Annual Miles Traveled:]]*IF(Table2[[#This Row],[New Engine Fuel Type:]]="ULSD",VLOOKUP(Table2[[#This Row],[New Engine Model Year:]],EFTable[],3,FALSE),VLOOKUP(Table2[[#This Row],[New Engine Fuel Type:]],EFTable[],3,FALSE)))</f>
        <v/>
      </c>
      <c r="BC46" s="187" t="str">
        <f>IF(Table2[[#This Row],[Counter Number]]="","",Table2[[#This Row],[Old Bus NOx Emissions (tons/yr)]]-Table2[[#This Row],[New Bus NOx Emissions (tons/yr)]])</f>
        <v/>
      </c>
      <c r="BD46" s="188" t="str">
        <f>IF(Table2[[#This Row],[Counter Number]]="","",Table2[[#This Row],[Reduction Bus NOx Emissions (tons/yr)]]/Table2[[#This Row],[Old Bus NOx Emissions (tons/yr)]])</f>
        <v/>
      </c>
      <c r="BE46" s="175" t="str">
        <f>IF(Table2[[#This Row],[Counter Number]]="","",Table2[[#This Row],[Reduction Bus NOx Emissions (tons/yr)]]*Table2[[#This Row],[Remaining Life:]])</f>
        <v/>
      </c>
      <c r="BF46" s="189" t="str">
        <f>IF(Table2[[#This Row],[Counter Number]]="","",IF(Table2[[#This Row],[Lifetime NOx Reduction (tons)]]=0,"NA",Table2[[#This Row],[Upgrade Cost Per Unit]]/Table2[[#This Row],[Lifetime NOx Reduction (tons)]]))</f>
        <v/>
      </c>
      <c r="BG46" s="190" t="str">
        <f>IF(Table2[[#This Row],[Counter Number]]="","",Table2[[#This Row],[Annual Miles Traveled:]]*VLOOKUP(Table2[[#This Row],[Engine Model Year:]],EF!$A$2:$G$27,4,FALSE))</f>
        <v/>
      </c>
      <c r="BH46" s="173" t="str">
        <f>IF(Table2[[#This Row],[Counter Number]]="","",Table2[[#This Row],[Annual Miles Traveled:]]*IF(Table2[[#This Row],[New Engine Fuel Type:]]="ULSD",VLOOKUP(Table2[[#This Row],[New Engine Model Year:]],EFTable[],4,FALSE),VLOOKUP(Table2[[#This Row],[New Engine Fuel Type:]],EFTable[],4,FALSE)))</f>
        <v/>
      </c>
      <c r="BI46" s="191" t="str">
        <f>IF(Table2[[#This Row],[Counter Number]]="","",Table2[[#This Row],[Old Bus PM2.5 Emissions (tons/yr)]]-Table2[[#This Row],[New Bus PM2.5 Emissions (tons/yr)]])</f>
        <v/>
      </c>
      <c r="BJ46" s="192" t="str">
        <f>IF(Table2[[#This Row],[Counter Number]]="","",Table2[[#This Row],[Reduction Bus PM2.5 Emissions (tons/yr)]]/Table2[[#This Row],[Old Bus PM2.5 Emissions (tons/yr)]])</f>
        <v/>
      </c>
      <c r="BK46" s="193" t="str">
        <f>IF(Table2[[#This Row],[Counter Number]]="","",Table2[[#This Row],[Reduction Bus PM2.5 Emissions (tons/yr)]]*Table2[[#This Row],[Remaining Life:]])</f>
        <v/>
      </c>
      <c r="BL46" s="194" t="str">
        <f>IF(Table2[[#This Row],[Counter Number]]="","",IF(Table2[[#This Row],[Lifetime PM2.5 Reduction (tons)]]=0,"NA",Table2[[#This Row],[Upgrade Cost Per Unit]]/Table2[[#This Row],[Lifetime PM2.5 Reduction (tons)]]))</f>
        <v/>
      </c>
      <c r="BM46" s="179" t="str">
        <f>IF(Table2[[#This Row],[Counter Number]]="","",Table2[[#This Row],[Annual Miles Traveled:]]*VLOOKUP(Table2[[#This Row],[Engine Model Year:]],EF!$A$2:$G$40,5,FALSE))</f>
        <v/>
      </c>
      <c r="BN46" s="173" t="str">
        <f>IF(Table2[[#This Row],[Counter Number]]="","",Table2[[#This Row],[Annual Miles Traveled:]]*IF(Table2[[#This Row],[New Engine Fuel Type:]]="ULSD",VLOOKUP(Table2[[#This Row],[New Engine Model Year:]],EFTable[],5,FALSE),VLOOKUP(Table2[[#This Row],[New Engine Fuel Type:]],EFTable[],5,FALSE)))</f>
        <v/>
      </c>
      <c r="BO46" s="190" t="str">
        <f>IF(Table2[[#This Row],[Counter Number]]="","",Table2[[#This Row],[Old Bus HC Emissions (tons/yr)]]-Table2[[#This Row],[New Bus HC Emissions (tons/yr)]])</f>
        <v/>
      </c>
      <c r="BP46" s="188" t="str">
        <f>IF(Table2[[#This Row],[Counter Number]]="","",Table2[[#This Row],[Reduction Bus HC Emissions (tons/yr)]]/Table2[[#This Row],[Old Bus HC Emissions (tons/yr)]])</f>
        <v/>
      </c>
      <c r="BQ46" s="193" t="str">
        <f>IF(Table2[[#This Row],[Counter Number]]="","",Table2[[#This Row],[Reduction Bus HC Emissions (tons/yr)]]*Table2[[#This Row],[Remaining Life:]])</f>
        <v/>
      </c>
      <c r="BR46" s="194" t="str">
        <f>IF(Table2[[#This Row],[Counter Number]]="","",IF(Table2[[#This Row],[Lifetime HC Reduction (tons)]]=0,"NA",Table2[[#This Row],[Upgrade Cost Per Unit]]/Table2[[#This Row],[Lifetime HC Reduction (tons)]]))</f>
        <v/>
      </c>
      <c r="BS46" s="191" t="str">
        <f>IF(Table2[[#This Row],[Counter Number]]="","",Table2[[#This Row],[Annual Miles Traveled:]]*VLOOKUP(Table2[[#This Row],[Engine Model Year:]],EF!$A$2:$G$27,6,FALSE))</f>
        <v/>
      </c>
      <c r="BT46" s="173" t="str">
        <f>IF(Table2[[#This Row],[Counter Number]]="","",Table2[[#This Row],[Annual Miles Traveled:]]*IF(Table2[[#This Row],[New Engine Fuel Type:]]="ULSD",VLOOKUP(Table2[[#This Row],[New Engine Model Year:]],EFTable[],6,FALSE),VLOOKUP(Table2[[#This Row],[New Engine Fuel Type:]],EFTable[],6,FALSE)))</f>
        <v/>
      </c>
      <c r="BU46" s="190" t="str">
        <f>IF(Table2[[#This Row],[Counter Number]]="","",Table2[[#This Row],[Old Bus CO Emissions (tons/yr)]]-Table2[[#This Row],[New Bus CO Emissions (tons/yr)]])</f>
        <v/>
      </c>
      <c r="BV46" s="188" t="str">
        <f>IF(Table2[[#This Row],[Counter Number]]="","",Table2[[#This Row],[Reduction Bus CO Emissions (tons/yr)]]/Table2[[#This Row],[Old Bus CO Emissions (tons/yr)]])</f>
        <v/>
      </c>
      <c r="BW46" s="193" t="str">
        <f>IF(Table2[[#This Row],[Counter Number]]="","",Table2[[#This Row],[Reduction Bus CO Emissions (tons/yr)]]*Table2[[#This Row],[Remaining Life:]])</f>
        <v/>
      </c>
      <c r="BX46" s="194" t="str">
        <f>IF(Table2[[#This Row],[Counter Number]]="","",IF(Table2[[#This Row],[Lifetime CO Reduction (tons)]]=0,"NA",Table2[[#This Row],[Upgrade Cost Per Unit]]/Table2[[#This Row],[Lifetime CO Reduction (tons)]]))</f>
        <v/>
      </c>
      <c r="BY46" s="180" t="str">
        <f>IF(Table2[[#This Row],[Counter Number]]="","",Table2[[#This Row],[Old ULSD Used (gal):]]*VLOOKUP(Table2[[#This Row],[Engine Model Year:]],EF!$A$2:$G$27,7,FALSE))</f>
        <v/>
      </c>
      <c r="BZ4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6" s="195" t="str">
        <f>IF(Table2[[#This Row],[Counter Number]]="","",Table2[[#This Row],[Old Bus CO2 Emissions (tons/yr)]]-Table2[[#This Row],[New Bus CO2 Emissions (tons/yr)]])</f>
        <v/>
      </c>
      <c r="CB46" s="188" t="str">
        <f>IF(Table2[[#This Row],[Counter Number]]="","",Table2[[#This Row],[Reduction Bus CO2 Emissions (tons/yr)]]/Table2[[#This Row],[Old Bus CO2 Emissions (tons/yr)]])</f>
        <v/>
      </c>
      <c r="CC46" s="195" t="str">
        <f>IF(Table2[[#This Row],[Counter Number]]="","",Table2[[#This Row],[Reduction Bus CO2 Emissions (tons/yr)]]*Table2[[#This Row],[Remaining Life:]])</f>
        <v/>
      </c>
      <c r="CD46" s="194" t="str">
        <f>IF(Table2[[#This Row],[Counter Number]]="","",IF(Table2[[#This Row],[Lifetime CO2 Reduction (tons)]]=0,"NA",Table2[[#This Row],[Upgrade Cost Per Unit]]/Table2[[#This Row],[Lifetime CO2 Reduction (tons)]]))</f>
        <v/>
      </c>
      <c r="CE46" s="182" t="str">
        <f>IF(Table2[[#This Row],[Counter Number]]="","",IF(Table2[[#This Row],[New ULSD Used (gal):]]="",Table2[[#This Row],[Old ULSD Used (gal):]],Table2[[#This Row],[Old ULSD Used (gal):]]-Table2[[#This Row],[New ULSD Used (gal):]]))</f>
        <v/>
      </c>
      <c r="CF46" s="196" t="str">
        <f>IF(Table2[[#This Row],[Counter Number]]="","",Table2[[#This Row],[Diesel Fuel Reduction (gal/yr)]]/Table2[[#This Row],[Old ULSD Used (gal):]])</f>
        <v/>
      </c>
      <c r="CG46" s="197" t="str">
        <f>IF(Table2[[#This Row],[Counter Number]]="","",Table2[[#This Row],[Diesel Fuel Reduction (gal/yr)]]*Table2[[#This Row],[Remaining Life:]])</f>
        <v/>
      </c>
    </row>
    <row r="47" spans="1:85">
      <c r="A47" s="184" t="str">
        <f>IF(A46&lt;Application!$D$24,A46+1,"")</f>
        <v/>
      </c>
      <c r="B47" s="60" t="str">
        <f>IF(Table2[[#This Row],[Counter Number]]="","",Application!$D$16)</f>
        <v/>
      </c>
      <c r="C47" s="60" t="str">
        <f>IF(Table2[[#This Row],[Counter Number]]="","",Application!$D$14)</f>
        <v/>
      </c>
      <c r="D47" s="60" t="str">
        <f>IF(Table2[[#This Row],[Counter Number]]="","",Table1[[#This Row],[Old Bus Number]])</f>
        <v/>
      </c>
      <c r="E47" s="60" t="str">
        <f>IF(Table2[[#This Row],[Counter Number]]="","",Application!$D$15)</f>
        <v/>
      </c>
      <c r="F47" s="60" t="str">
        <f>IF(Table2[[#This Row],[Counter Number]]="","","On Highway")</f>
        <v/>
      </c>
      <c r="G47" s="60" t="str">
        <f>IF(Table2[[#This Row],[Counter Number]]="","",I47)</f>
        <v/>
      </c>
      <c r="H47" s="60" t="str">
        <f>IF(Table2[[#This Row],[Counter Number]]="","","Georgia")</f>
        <v/>
      </c>
      <c r="I47" s="60" t="str">
        <f>IF(Table2[[#This Row],[Counter Number]]="","",Application!$D$16)</f>
        <v/>
      </c>
      <c r="J47" s="60" t="str">
        <f>IF(Table2[[#This Row],[Counter Number]]="","",Application!$D$21)</f>
        <v/>
      </c>
      <c r="K47" s="60" t="str">
        <f>IF(Table2[[#This Row],[Counter Number]]="","",Application!$J$21)</f>
        <v/>
      </c>
      <c r="L47" s="60" t="str">
        <f>IF(Table2[[#This Row],[Counter Number]]="","","School Bus")</f>
        <v/>
      </c>
      <c r="M47" s="60" t="str">
        <f>IF(Table2[[#This Row],[Counter Number]]="","","School Bus")</f>
        <v/>
      </c>
      <c r="N47" s="60" t="str">
        <f>IF(Table2[[#This Row],[Counter Number]]="","",1)</f>
        <v/>
      </c>
      <c r="O47" s="60" t="str">
        <f>IF(Table2[[#This Row],[Counter Number]]="","",Table1[[#This Row],[Vehicle Identification Number(s):]])</f>
        <v/>
      </c>
      <c r="P47" s="60" t="str">
        <f>IF(Table2[[#This Row],[Counter Number]]="","",Table1[[#This Row],[Old Bus Manufacturer:]])</f>
        <v/>
      </c>
      <c r="Q47" s="60" t="str">
        <f>IF(Table2[[#This Row],[Counter Number]]="","",Table1[[#This Row],[Vehicle Model:]])</f>
        <v/>
      </c>
      <c r="R47" s="165" t="str">
        <f>IF(Table2[[#This Row],[Counter Number]]="","",Table1[[#This Row],[Vehicle Model Year:]])</f>
        <v/>
      </c>
      <c r="S47" s="60" t="str">
        <f>IF(Table2[[#This Row],[Counter Number]]="","",Table1[[#This Row],[Engine Serial Number(s):]])</f>
        <v/>
      </c>
      <c r="T47" s="60" t="str">
        <f>IF(Table2[[#This Row],[Counter Number]]="","",Table1[[#This Row],[Engine Make:]])</f>
        <v/>
      </c>
      <c r="U47" s="60" t="str">
        <f>IF(Table2[[#This Row],[Counter Number]]="","",Table1[[#This Row],[Engine Model:]])</f>
        <v/>
      </c>
      <c r="V47" s="165" t="str">
        <f>IF(Table2[[#This Row],[Counter Number]]="","",Table1[[#This Row],[Engine Model Year:]])</f>
        <v/>
      </c>
      <c r="W47" s="60" t="str">
        <f>IF(Table2[[#This Row],[Counter Number]]="","","NA")</f>
        <v/>
      </c>
      <c r="X47" s="165" t="str">
        <f>IF(Table2[[#This Row],[Counter Number]]="","",Table1[[#This Row],[Engine Horsepower (HP):]])</f>
        <v/>
      </c>
      <c r="Y47" s="165" t="str">
        <f>IF(Table2[[#This Row],[Counter Number]]="","",Table1[[#This Row],[Engine Cylinder Displacement (L):]]&amp;" L")</f>
        <v/>
      </c>
      <c r="Z47" s="165" t="str">
        <f>IF(Table2[[#This Row],[Counter Number]]="","",Table1[[#This Row],[Engine Number of Cylinders:]])</f>
        <v/>
      </c>
      <c r="AA47" s="166" t="str">
        <f>IF(Table2[[#This Row],[Counter Number]]="","",Table1[[#This Row],[Engine Family Name:]])</f>
        <v/>
      </c>
      <c r="AB47" s="60" t="str">
        <f>IF(Table2[[#This Row],[Counter Number]]="","","ULSD")</f>
        <v/>
      </c>
      <c r="AC47" s="167" t="str">
        <f>IF(Table2[[#This Row],[Counter Number]]="","",Table2[[#This Row],[Annual Miles Traveled:]]/Table1[[#This Row],[Old Fuel (mpg)]])</f>
        <v/>
      </c>
      <c r="AD47" s="60" t="str">
        <f>IF(Table2[[#This Row],[Counter Number]]="","","NA")</f>
        <v/>
      </c>
      <c r="AE47" s="168" t="str">
        <f>IF(Table2[[#This Row],[Counter Number]]="","",Table1[[#This Row],[Annual Miles Traveled]])</f>
        <v/>
      </c>
      <c r="AF47" s="169" t="str">
        <f>IF(Table2[[#This Row],[Counter Number]]="","",Table1[[#This Row],[Annual Idling Hours:]])</f>
        <v/>
      </c>
      <c r="AG47" s="60" t="str">
        <f>IF(Table2[[#This Row],[Counter Number]]="","","NA")</f>
        <v/>
      </c>
      <c r="AH47" s="165" t="str">
        <f>IF(Table2[[#This Row],[Counter Number]]="","",IF(Application!$J$25="Set Policy",Table1[[#This Row],[Remaining Life (years)         Set Policy]],Table1[[#This Row],[Remaining Life (years)               Case-by-Case]]))</f>
        <v/>
      </c>
      <c r="AI47" s="165" t="str">
        <f>IF(Table2[[#This Row],[Counter Number]]="","",IF(Application!$J$25="Case-by-Case","NA",Table2[[#This Row],[Fiscal Year of EPA Funds Used:]]+Table2[[#This Row],[Remaining Life:]]))</f>
        <v/>
      </c>
      <c r="AJ47" s="165"/>
      <c r="AK47" s="170" t="str">
        <f>IF(Table2[[#This Row],[Counter Number]]="","",Application!$D$14+1)</f>
        <v/>
      </c>
      <c r="AL47" s="60" t="str">
        <f>IF(Table2[[#This Row],[Counter Number]]="","","Vehicle Replacement")</f>
        <v/>
      </c>
      <c r="AM4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7" s="171" t="str">
        <f>IF(Table2[[#This Row],[Counter Number]]="","",Table1[[#This Row],[Cost of New Bus:]])</f>
        <v/>
      </c>
      <c r="AO47" s="60" t="str">
        <f>IF(Table2[[#This Row],[Counter Number]]="","","NA")</f>
        <v/>
      </c>
      <c r="AP47" s="165" t="str">
        <f>IF(Table2[[#This Row],[Counter Number]]="","",Table1[[#This Row],[New Engine Model Year:]])</f>
        <v/>
      </c>
      <c r="AQ47" s="60" t="str">
        <f>IF(Table2[[#This Row],[Counter Number]]="","","NA")</f>
        <v/>
      </c>
      <c r="AR47" s="165" t="str">
        <f>IF(Table2[[#This Row],[Counter Number]]="","",Table1[[#This Row],[New Engine Horsepower (HP):]])</f>
        <v/>
      </c>
      <c r="AS47" s="60" t="str">
        <f>IF(Table2[[#This Row],[Counter Number]]="","","NA")</f>
        <v/>
      </c>
      <c r="AT47" s="165" t="str">
        <f>IF(Table2[[#This Row],[Counter Number]]="","",Table1[[#This Row],[New Engine Cylinder Displacement (L):]]&amp;" L")</f>
        <v/>
      </c>
      <c r="AU47" s="114" t="str">
        <f>IF(Table2[[#This Row],[Counter Number]]="","",Table1[[#This Row],[New Engine Number of Cylinders:]])</f>
        <v/>
      </c>
      <c r="AV47" s="60" t="str">
        <f>IF(Table2[[#This Row],[Counter Number]]="","",Table1[[#This Row],[New Engine Family Name:]])</f>
        <v/>
      </c>
      <c r="AW4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7" s="60" t="str">
        <f>IF(Table2[[#This Row],[Counter Number]]="","","NA")</f>
        <v/>
      </c>
      <c r="AY47" s="172" t="str">
        <f>IF(Table2[[#This Row],[Counter Number]]="","",IF(Table2[[#This Row],[New Engine Fuel Type:]]="ULSD",Table1[[#This Row],[Annual Miles Traveled]]/Table1[[#This Row],[New Fuel (mpg) if Diesel]],""))</f>
        <v/>
      </c>
      <c r="AZ47" s="60"/>
      <c r="BA47" s="173" t="str">
        <f>IF(Table2[[#This Row],[Counter Number]]="","",Table2[[#This Row],[Annual Miles Traveled:]]*VLOOKUP(Table2[[#This Row],[Engine Model Year:]],EFTable[],3,FALSE))</f>
        <v/>
      </c>
      <c r="BB47" s="173" t="str">
        <f>IF(Table2[[#This Row],[Counter Number]]="","",Table2[[#This Row],[Annual Miles Traveled:]]*IF(Table2[[#This Row],[New Engine Fuel Type:]]="ULSD",VLOOKUP(Table2[[#This Row],[New Engine Model Year:]],EFTable[],3,FALSE),VLOOKUP(Table2[[#This Row],[New Engine Fuel Type:]],EFTable[],3,FALSE)))</f>
        <v/>
      </c>
      <c r="BC47" s="187" t="str">
        <f>IF(Table2[[#This Row],[Counter Number]]="","",Table2[[#This Row],[Old Bus NOx Emissions (tons/yr)]]-Table2[[#This Row],[New Bus NOx Emissions (tons/yr)]])</f>
        <v/>
      </c>
      <c r="BD47" s="188" t="str">
        <f>IF(Table2[[#This Row],[Counter Number]]="","",Table2[[#This Row],[Reduction Bus NOx Emissions (tons/yr)]]/Table2[[#This Row],[Old Bus NOx Emissions (tons/yr)]])</f>
        <v/>
      </c>
      <c r="BE47" s="175" t="str">
        <f>IF(Table2[[#This Row],[Counter Number]]="","",Table2[[#This Row],[Reduction Bus NOx Emissions (tons/yr)]]*Table2[[#This Row],[Remaining Life:]])</f>
        <v/>
      </c>
      <c r="BF47" s="189" t="str">
        <f>IF(Table2[[#This Row],[Counter Number]]="","",IF(Table2[[#This Row],[Lifetime NOx Reduction (tons)]]=0,"NA",Table2[[#This Row],[Upgrade Cost Per Unit]]/Table2[[#This Row],[Lifetime NOx Reduction (tons)]]))</f>
        <v/>
      </c>
      <c r="BG47" s="190" t="str">
        <f>IF(Table2[[#This Row],[Counter Number]]="","",Table2[[#This Row],[Annual Miles Traveled:]]*VLOOKUP(Table2[[#This Row],[Engine Model Year:]],EF!$A$2:$G$27,4,FALSE))</f>
        <v/>
      </c>
      <c r="BH47" s="173" t="str">
        <f>IF(Table2[[#This Row],[Counter Number]]="","",Table2[[#This Row],[Annual Miles Traveled:]]*IF(Table2[[#This Row],[New Engine Fuel Type:]]="ULSD",VLOOKUP(Table2[[#This Row],[New Engine Model Year:]],EFTable[],4,FALSE),VLOOKUP(Table2[[#This Row],[New Engine Fuel Type:]],EFTable[],4,FALSE)))</f>
        <v/>
      </c>
      <c r="BI47" s="191" t="str">
        <f>IF(Table2[[#This Row],[Counter Number]]="","",Table2[[#This Row],[Old Bus PM2.5 Emissions (tons/yr)]]-Table2[[#This Row],[New Bus PM2.5 Emissions (tons/yr)]])</f>
        <v/>
      </c>
      <c r="BJ47" s="192" t="str">
        <f>IF(Table2[[#This Row],[Counter Number]]="","",Table2[[#This Row],[Reduction Bus PM2.5 Emissions (tons/yr)]]/Table2[[#This Row],[Old Bus PM2.5 Emissions (tons/yr)]])</f>
        <v/>
      </c>
      <c r="BK47" s="193" t="str">
        <f>IF(Table2[[#This Row],[Counter Number]]="","",Table2[[#This Row],[Reduction Bus PM2.5 Emissions (tons/yr)]]*Table2[[#This Row],[Remaining Life:]])</f>
        <v/>
      </c>
      <c r="BL47" s="194" t="str">
        <f>IF(Table2[[#This Row],[Counter Number]]="","",IF(Table2[[#This Row],[Lifetime PM2.5 Reduction (tons)]]=0,"NA",Table2[[#This Row],[Upgrade Cost Per Unit]]/Table2[[#This Row],[Lifetime PM2.5 Reduction (tons)]]))</f>
        <v/>
      </c>
      <c r="BM47" s="179" t="str">
        <f>IF(Table2[[#This Row],[Counter Number]]="","",Table2[[#This Row],[Annual Miles Traveled:]]*VLOOKUP(Table2[[#This Row],[Engine Model Year:]],EF!$A$2:$G$40,5,FALSE))</f>
        <v/>
      </c>
      <c r="BN47" s="173" t="str">
        <f>IF(Table2[[#This Row],[Counter Number]]="","",Table2[[#This Row],[Annual Miles Traveled:]]*IF(Table2[[#This Row],[New Engine Fuel Type:]]="ULSD",VLOOKUP(Table2[[#This Row],[New Engine Model Year:]],EFTable[],5,FALSE),VLOOKUP(Table2[[#This Row],[New Engine Fuel Type:]],EFTable[],5,FALSE)))</f>
        <v/>
      </c>
      <c r="BO47" s="190" t="str">
        <f>IF(Table2[[#This Row],[Counter Number]]="","",Table2[[#This Row],[Old Bus HC Emissions (tons/yr)]]-Table2[[#This Row],[New Bus HC Emissions (tons/yr)]])</f>
        <v/>
      </c>
      <c r="BP47" s="188" t="str">
        <f>IF(Table2[[#This Row],[Counter Number]]="","",Table2[[#This Row],[Reduction Bus HC Emissions (tons/yr)]]/Table2[[#This Row],[Old Bus HC Emissions (tons/yr)]])</f>
        <v/>
      </c>
      <c r="BQ47" s="193" t="str">
        <f>IF(Table2[[#This Row],[Counter Number]]="","",Table2[[#This Row],[Reduction Bus HC Emissions (tons/yr)]]*Table2[[#This Row],[Remaining Life:]])</f>
        <v/>
      </c>
      <c r="BR47" s="194" t="str">
        <f>IF(Table2[[#This Row],[Counter Number]]="","",IF(Table2[[#This Row],[Lifetime HC Reduction (tons)]]=0,"NA",Table2[[#This Row],[Upgrade Cost Per Unit]]/Table2[[#This Row],[Lifetime HC Reduction (tons)]]))</f>
        <v/>
      </c>
      <c r="BS47" s="191" t="str">
        <f>IF(Table2[[#This Row],[Counter Number]]="","",Table2[[#This Row],[Annual Miles Traveled:]]*VLOOKUP(Table2[[#This Row],[Engine Model Year:]],EF!$A$2:$G$27,6,FALSE))</f>
        <v/>
      </c>
      <c r="BT47" s="173" t="str">
        <f>IF(Table2[[#This Row],[Counter Number]]="","",Table2[[#This Row],[Annual Miles Traveled:]]*IF(Table2[[#This Row],[New Engine Fuel Type:]]="ULSD",VLOOKUP(Table2[[#This Row],[New Engine Model Year:]],EFTable[],6,FALSE),VLOOKUP(Table2[[#This Row],[New Engine Fuel Type:]],EFTable[],6,FALSE)))</f>
        <v/>
      </c>
      <c r="BU47" s="190" t="str">
        <f>IF(Table2[[#This Row],[Counter Number]]="","",Table2[[#This Row],[Old Bus CO Emissions (tons/yr)]]-Table2[[#This Row],[New Bus CO Emissions (tons/yr)]])</f>
        <v/>
      </c>
      <c r="BV47" s="188" t="str">
        <f>IF(Table2[[#This Row],[Counter Number]]="","",Table2[[#This Row],[Reduction Bus CO Emissions (tons/yr)]]/Table2[[#This Row],[Old Bus CO Emissions (tons/yr)]])</f>
        <v/>
      </c>
      <c r="BW47" s="193" t="str">
        <f>IF(Table2[[#This Row],[Counter Number]]="","",Table2[[#This Row],[Reduction Bus CO Emissions (tons/yr)]]*Table2[[#This Row],[Remaining Life:]])</f>
        <v/>
      </c>
      <c r="BX47" s="194" t="str">
        <f>IF(Table2[[#This Row],[Counter Number]]="","",IF(Table2[[#This Row],[Lifetime CO Reduction (tons)]]=0,"NA",Table2[[#This Row],[Upgrade Cost Per Unit]]/Table2[[#This Row],[Lifetime CO Reduction (tons)]]))</f>
        <v/>
      </c>
      <c r="BY47" s="180" t="str">
        <f>IF(Table2[[#This Row],[Counter Number]]="","",Table2[[#This Row],[Old ULSD Used (gal):]]*VLOOKUP(Table2[[#This Row],[Engine Model Year:]],EF!$A$2:$G$27,7,FALSE))</f>
        <v/>
      </c>
      <c r="BZ4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7" s="195" t="str">
        <f>IF(Table2[[#This Row],[Counter Number]]="","",Table2[[#This Row],[Old Bus CO2 Emissions (tons/yr)]]-Table2[[#This Row],[New Bus CO2 Emissions (tons/yr)]])</f>
        <v/>
      </c>
      <c r="CB47" s="188" t="str">
        <f>IF(Table2[[#This Row],[Counter Number]]="","",Table2[[#This Row],[Reduction Bus CO2 Emissions (tons/yr)]]/Table2[[#This Row],[Old Bus CO2 Emissions (tons/yr)]])</f>
        <v/>
      </c>
      <c r="CC47" s="195" t="str">
        <f>IF(Table2[[#This Row],[Counter Number]]="","",Table2[[#This Row],[Reduction Bus CO2 Emissions (tons/yr)]]*Table2[[#This Row],[Remaining Life:]])</f>
        <v/>
      </c>
      <c r="CD47" s="194" t="str">
        <f>IF(Table2[[#This Row],[Counter Number]]="","",IF(Table2[[#This Row],[Lifetime CO2 Reduction (tons)]]=0,"NA",Table2[[#This Row],[Upgrade Cost Per Unit]]/Table2[[#This Row],[Lifetime CO2 Reduction (tons)]]))</f>
        <v/>
      </c>
      <c r="CE47" s="182" t="str">
        <f>IF(Table2[[#This Row],[Counter Number]]="","",IF(Table2[[#This Row],[New ULSD Used (gal):]]="",Table2[[#This Row],[Old ULSD Used (gal):]],Table2[[#This Row],[Old ULSD Used (gal):]]-Table2[[#This Row],[New ULSD Used (gal):]]))</f>
        <v/>
      </c>
      <c r="CF47" s="196" t="str">
        <f>IF(Table2[[#This Row],[Counter Number]]="","",Table2[[#This Row],[Diesel Fuel Reduction (gal/yr)]]/Table2[[#This Row],[Old ULSD Used (gal):]])</f>
        <v/>
      </c>
      <c r="CG47" s="197" t="str">
        <f>IF(Table2[[#This Row],[Counter Number]]="","",Table2[[#This Row],[Diesel Fuel Reduction (gal/yr)]]*Table2[[#This Row],[Remaining Life:]])</f>
        <v/>
      </c>
    </row>
    <row r="48" spans="1:85">
      <c r="A48" s="184" t="str">
        <f>IF(A47&lt;Application!$D$24,A47+1,"")</f>
        <v/>
      </c>
      <c r="B48" s="60" t="str">
        <f>IF(Table2[[#This Row],[Counter Number]]="","",Application!$D$16)</f>
        <v/>
      </c>
      <c r="C48" s="60" t="str">
        <f>IF(Table2[[#This Row],[Counter Number]]="","",Application!$D$14)</f>
        <v/>
      </c>
      <c r="D48" s="60" t="str">
        <f>IF(Table2[[#This Row],[Counter Number]]="","",Table1[[#This Row],[Old Bus Number]])</f>
        <v/>
      </c>
      <c r="E48" s="60" t="str">
        <f>IF(Table2[[#This Row],[Counter Number]]="","",Application!$D$15)</f>
        <v/>
      </c>
      <c r="F48" s="60" t="str">
        <f>IF(Table2[[#This Row],[Counter Number]]="","","On Highway")</f>
        <v/>
      </c>
      <c r="G48" s="60" t="str">
        <f>IF(Table2[[#This Row],[Counter Number]]="","",I48)</f>
        <v/>
      </c>
      <c r="H48" s="60" t="str">
        <f>IF(Table2[[#This Row],[Counter Number]]="","","Georgia")</f>
        <v/>
      </c>
      <c r="I48" s="60" t="str">
        <f>IF(Table2[[#This Row],[Counter Number]]="","",Application!$D$16)</f>
        <v/>
      </c>
      <c r="J48" s="60" t="str">
        <f>IF(Table2[[#This Row],[Counter Number]]="","",Application!$D$21)</f>
        <v/>
      </c>
      <c r="K48" s="60" t="str">
        <f>IF(Table2[[#This Row],[Counter Number]]="","",Application!$J$21)</f>
        <v/>
      </c>
      <c r="L48" s="60" t="str">
        <f>IF(Table2[[#This Row],[Counter Number]]="","","School Bus")</f>
        <v/>
      </c>
      <c r="M48" s="60" t="str">
        <f>IF(Table2[[#This Row],[Counter Number]]="","","School Bus")</f>
        <v/>
      </c>
      <c r="N48" s="60" t="str">
        <f>IF(Table2[[#This Row],[Counter Number]]="","",1)</f>
        <v/>
      </c>
      <c r="O48" s="60" t="str">
        <f>IF(Table2[[#This Row],[Counter Number]]="","",Table1[[#This Row],[Vehicle Identification Number(s):]])</f>
        <v/>
      </c>
      <c r="P48" s="60" t="str">
        <f>IF(Table2[[#This Row],[Counter Number]]="","",Table1[[#This Row],[Old Bus Manufacturer:]])</f>
        <v/>
      </c>
      <c r="Q48" s="60" t="str">
        <f>IF(Table2[[#This Row],[Counter Number]]="","",Table1[[#This Row],[Vehicle Model:]])</f>
        <v/>
      </c>
      <c r="R48" s="165" t="str">
        <f>IF(Table2[[#This Row],[Counter Number]]="","",Table1[[#This Row],[Vehicle Model Year:]])</f>
        <v/>
      </c>
      <c r="S48" s="60" t="str">
        <f>IF(Table2[[#This Row],[Counter Number]]="","",Table1[[#This Row],[Engine Serial Number(s):]])</f>
        <v/>
      </c>
      <c r="T48" s="60" t="str">
        <f>IF(Table2[[#This Row],[Counter Number]]="","",Table1[[#This Row],[Engine Make:]])</f>
        <v/>
      </c>
      <c r="U48" s="60" t="str">
        <f>IF(Table2[[#This Row],[Counter Number]]="","",Table1[[#This Row],[Engine Model:]])</f>
        <v/>
      </c>
      <c r="V48" s="165" t="str">
        <f>IF(Table2[[#This Row],[Counter Number]]="","",Table1[[#This Row],[Engine Model Year:]])</f>
        <v/>
      </c>
      <c r="W48" s="60" t="str">
        <f>IF(Table2[[#This Row],[Counter Number]]="","","NA")</f>
        <v/>
      </c>
      <c r="X48" s="165" t="str">
        <f>IF(Table2[[#This Row],[Counter Number]]="","",Table1[[#This Row],[Engine Horsepower (HP):]])</f>
        <v/>
      </c>
      <c r="Y48" s="165" t="str">
        <f>IF(Table2[[#This Row],[Counter Number]]="","",Table1[[#This Row],[Engine Cylinder Displacement (L):]]&amp;" L")</f>
        <v/>
      </c>
      <c r="Z48" s="165" t="str">
        <f>IF(Table2[[#This Row],[Counter Number]]="","",Table1[[#This Row],[Engine Number of Cylinders:]])</f>
        <v/>
      </c>
      <c r="AA48" s="166" t="str">
        <f>IF(Table2[[#This Row],[Counter Number]]="","",Table1[[#This Row],[Engine Family Name:]])</f>
        <v/>
      </c>
      <c r="AB48" s="60" t="str">
        <f>IF(Table2[[#This Row],[Counter Number]]="","","ULSD")</f>
        <v/>
      </c>
      <c r="AC48" s="167" t="str">
        <f>IF(Table2[[#This Row],[Counter Number]]="","",Table2[[#This Row],[Annual Miles Traveled:]]/Table1[[#This Row],[Old Fuel (mpg)]])</f>
        <v/>
      </c>
      <c r="AD48" s="60" t="str">
        <f>IF(Table2[[#This Row],[Counter Number]]="","","NA")</f>
        <v/>
      </c>
      <c r="AE48" s="168" t="str">
        <f>IF(Table2[[#This Row],[Counter Number]]="","",Table1[[#This Row],[Annual Miles Traveled]])</f>
        <v/>
      </c>
      <c r="AF48" s="169" t="str">
        <f>IF(Table2[[#This Row],[Counter Number]]="","",Table1[[#This Row],[Annual Idling Hours:]])</f>
        <v/>
      </c>
      <c r="AG48" s="60" t="str">
        <f>IF(Table2[[#This Row],[Counter Number]]="","","NA")</f>
        <v/>
      </c>
      <c r="AH48" s="165" t="str">
        <f>IF(Table2[[#This Row],[Counter Number]]="","",IF(Application!$J$25="Set Policy",Table1[[#This Row],[Remaining Life (years)         Set Policy]],Table1[[#This Row],[Remaining Life (years)               Case-by-Case]]))</f>
        <v/>
      </c>
      <c r="AI48" s="165" t="str">
        <f>IF(Table2[[#This Row],[Counter Number]]="","",IF(Application!$J$25="Case-by-Case","NA",Table2[[#This Row],[Fiscal Year of EPA Funds Used:]]+Table2[[#This Row],[Remaining Life:]]))</f>
        <v/>
      </c>
      <c r="AJ48" s="165"/>
      <c r="AK48" s="170" t="str">
        <f>IF(Table2[[#This Row],[Counter Number]]="","",Application!$D$14+1)</f>
        <v/>
      </c>
      <c r="AL48" s="60" t="str">
        <f>IF(Table2[[#This Row],[Counter Number]]="","","Vehicle Replacement")</f>
        <v/>
      </c>
      <c r="AM4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8" s="171" t="str">
        <f>IF(Table2[[#This Row],[Counter Number]]="","",Table1[[#This Row],[Cost of New Bus:]])</f>
        <v/>
      </c>
      <c r="AO48" s="60" t="str">
        <f>IF(Table2[[#This Row],[Counter Number]]="","","NA")</f>
        <v/>
      </c>
      <c r="AP48" s="165" t="str">
        <f>IF(Table2[[#This Row],[Counter Number]]="","",Table1[[#This Row],[New Engine Model Year:]])</f>
        <v/>
      </c>
      <c r="AQ48" s="60" t="str">
        <f>IF(Table2[[#This Row],[Counter Number]]="","","NA")</f>
        <v/>
      </c>
      <c r="AR48" s="165" t="str">
        <f>IF(Table2[[#This Row],[Counter Number]]="","",Table1[[#This Row],[New Engine Horsepower (HP):]])</f>
        <v/>
      </c>
      <c r="AS48" s="60" t="str">
        <f>IF(Table2[[#This Row],[Counter Number]]="","","NA")</f>
        <v/>
      </c>
      <c r="AT48" s="165" t="str">
        <f>IF(Table2[[#This Row],[Counter Number]]="","",Table1[[#This Row],[New Engine Cylinder Displacement (L):]]&amp;" L")</f>
        <v/>
      </c>
      <c r="AU48" s="114" t="str">
        <f>IF(Table2[[#This Row],[Counter Number]]="","",Table1[[#This Row],[New Engine Number of Cylinders:]])</f>
        <v/>
      </c>
      <c r="AV48" s="60" t="str">
        <f>IF(Table2[[#This Row],[Counter Number]]="","",Table1[[#This Row],[New Engine Family Name:]])</f>
        <v/>
      </c>
      <c r="AW4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8" s="60" t="str">
        <f>IF(Table2[[#This Row],[Counter Number]]="","","NA")</f>
        <v/>
      </c>
      <c r="AY48" s="172" t="str">
        <f>IF(Table2[[#This Row],[Counter Number]]="","",IF(Table2[[#This Row],[New Engine Fuel Type:]]="ULSD",Table1[[#This Row],[Annual Miles Traveled]]/Table1[[#This Row],[New Fuel (mpg) if Diesel]],""))</f>
        <v/>
      </c>
      <c r="AZ48" s="60"/>
      <c r="BA48" s="173" t="str">
        <f>IF(Table2[[#This Row],[Counter Number]]="","",Table2[[#This Row],[Annual Miles Traveled:]]*VLOOKUP(Table2[[#This Row],[Engine Model Year:]],EFTable[],3,FALSE))</f>
        <v/>
      </c>
      <c r="BB48" s="173" t="str">
        <f>IF(Table2[[#This Row],[Counter Number]]="","",Table2[[#This Row],[Annual Miles Traveled:]]*IF(Table2[[#This Row],[New Engine Fuel Type:]]="ULSD",VLOOKUP(Table2[[#This Row],[New Engine Model Year:]],EFTable[],3,FALSE),VLOOKUP(Table2[[#This Row],[New Engine Fuel Type:]],EFTable[],3,FALSE)))</f>
        <v/>
      </c>
      <c r="BC48" s="187" t="str">
        <f>IF(Table2[[#This Row],[Counter Number]]="","",Table2[[#This Row],[Old Bus NOx Emissions (tons/yr)]]-Table2[[#This Row],[New Bus NOx Emissions (tons/yr)]])</f>
        <v/>
      </c>
      <c r="BD48" s="188" t="str">
        <f>IF(Table2[[#This Row],[Counter Number]]="","",Table2[[#This Row],[Reduction Bus NOx Emissions (tons/yr)]]/Table2[[#This Row],[Old Bus NOx Emissions (tons/yr)]])</f>
        <v/>
      </c>
      <c r="BE48" s="175" t="str">
        <f>IF(Table2[[#This Row],[Counter Number]]="","",Table2[[#This Row],[Reduction Bus NOx Emissions (tons/yr)]]*Table2[[#This Row],[Remaining Life:]])</f>
        <v/>
      </c>
      <c r="BF48" s="189" t="str">
        <f>IF(Table2[[#This Row],[Counter Number]]="","",IF(Table2[[#This Row],[Lifetime NOx Reduction (tons)]]=0,"NA",Table2[[#This Row],[Upgrade Cost Per Unit]]/Table2[[#This Row],[Lifetime NOx Reduction (tons)]]))</f>
        <v/>
      </c>
      <c r="BG48" s="190" t="str">
        <f>IF(Table2[[#This Row],[Counter Number]]="","",Table2[[#This Row],[Annual Miles Traveled:]]*VLOOKUP(Table2[[#This Row],[Engine Model Year:]],EF!$A$2:$G$27,4,FALSE))</f>
        <v/>
      </c>
      <c r="BH48" s="173" t="str">
        <f>IF(Table2[[#This Row],[Counter Number]]="","",Table2[[#This Row],[Annual Miles Traveled:]]*IF(Table2[[#This Row],[New Engine Fuel Type:]]="ULSD",VLOOKUP(Table2[[#This Row],[New Engine Model Year:]],EFTable[],4,FALSE),VLOOKUP(Table2[[#This Row],[New Engine Fuel Type:]],EFTable[],4,FALSE)))</f>
        <v/>
      </c>
      <c r="BI48" s="191" t="str">
        <f>IF(Table2[[#This Row],[Counter Number]]="","",Table2[[#This Row],[Old Bus PM2.5 Emissions (tons/yr)]]-Table2[[#This Row],[New Bus PM2.5 Emissions (tons/yr)]])</f>
        <v/>
      </c>
      <c r="BJ48" s="192" t="str">
        <f>IF(Table2[[#This Row],[Counter Number]]="","",Table2[[#This Row],[Reduction Bus PM2.5 Emissions (tons/yr)]]/Table2[[#This Row],[Old Bus PM2.5 Emissions (tons/yr)]])</f>
        <v/>
      </c>
      <c r="BK48" s="193" t="str">
        <f>IF(Table2[[#This Row],[Counter Number]]="","",Table2[[#This Row],[Reduction Bus PM2.5 Emissions (tons/yr)]]*Table2[[#This Row],[Remaining Life:]])</f>
        <v/>
      </c>
      <c r="BL48" s="194" t="str">
        <f>IF(Table2[[#This Row],[Counter Number]]="","",IF(Table2[[#This Row],[Lifetime PM2.5 Reduction (tons)]]=0,"NA",Table2[[#This Row],[Upgrade Cost Per Unit]]/Table2[[#This Row],[Lifetime PM2.5 Reduction (tons)]]))</f>
        <v/>
      </c>
      <c r="BM48" s="179" t="str">
        <f>IF(Table2[[#This Row],[Counter Number]]="","",Table2[[#This Row],[Annual Miles Traveled:]]*VLOOKUP(Table2[[#This Row],[Engine Model Year:]],EF!$A$2:$G$40,5,FALSE))</f>
        <v/>
      </c>
      <c r="BN48" s="173" t="str">
        <f>IF(Table2[[#This Row],[Counter Number]]="","",Table2[[#This Row],[Annual Miles Traveled:]]*IF(Table2[[#This Row],[New Engine Fuel Type:]]="ULSD",VLOOKUP(Table2[[#This Row],[New Engine Model Year:]],EFTable[],5,FALSE),VLOOKUP(Table2[[#This Row],[New Engine Fuel Type:]],EFTable[],5,FALSE)))</f>
        <v/>
      </c>
      <c r="BO48" s="190" t="str">
        <f>IF(Table2[[#This Row],[Counter Number]]="","",Table2[[#This Row],[Old Bus HC Emissions (tons/yr)]]-Table2[[#This Row],[New Bus HC Emissions (tons/yr)]])</f>
        <v/>
      </c>
      <c r="BP48" s="188" t="str">
        <f>IF(Table2[[#This Row],[Counter Number]]="","",Table2[[#This Row],[Reduction Bus HC Emissions (tons/yr)]]/Table2[[#This Row],[Old Bus HC Emissions (tons/yr)]])</f>
        <v/>
      </c>
      <c r="BQ48" s="193" t="str">
        <f>IF(Table2[[#This Row],[Counter Number]]="","",Table2[[#This Row],[Reduction Bus HC Emissions (tons/yr)]]*Table2[[#This Row],[Remaining Life:]])</f>
        <v/>
      </c>
      <c r="BR48" s="194" t="str">
        <f>IF(Table2[[#This Row],[Counter Number]]="","",IF(Table2[[#This Row],[Lifetime HC Reduction (tons)]]=0,"NA",Table2[[#This Row],[Upgrade Cost Per Unit]]/Table2[[#This Row],[Lifetime HC Reduction (tons)]]))</f>
        <v/>
      </c>
      <c r="BS48" s="191" t="str">
        <f>IF(Table2[[#This Row],[Counter Number]]="","",Table2[[#This Row],[Annual Miles Traveled:]]*VLOOKUP(Table2[[#This Row],[Engine Model Year:]],EF!$A$2:$G$27,6,FALSE))</f>
        <v/>
      </c>
      <c r="BT48" s="173" t="str">
        <f>IF(Table2[[#This Row],[Counter Number]]="","",Table2[[#This Row],[Annual Miles Traveled:]]*IF(Table2[[#This Row],[New Engine Fuel Type:]]="ULSD",VLOOKUP(Table2[[#This Row],[New Engine Model Year:]],EFTable[],6,FALSE),VLOOKUP(Table2[[#This Row],[New Engine Fuel Type:]],EFTable[],6,FALSE)))</f>
        <v/>
      </c>
      <c r="BU48" s="190" t="str">
        <f>IF(Table2[[#This Row],[Counter Number]]="","",Table2[[#This Row],[Old Bus CO Emissions (tons/yr)]]-Table2[[#This Row],[New Bus CO Emissions (tons/yr)]])</f>
        <v/>
      </c>
      <c r="BV48" s="188" t="str">
        <f>IF(Table2[[#This Row],[Counter Number]]="","",Table2[[#This Row],[Reduction Bus CO Emissions (tons/yr)]]/Table2[[#This Row],[Old Bus CO Emissions (tons/yr)]])</f>
        <v/>
      </c>
      <c r="BW48" s="193" t="str">
        <f>IF(Table2[[#This Row],[Counter Number]]="","",Table2[[#This Row],[Reduction Bus CO Emissions (tons/yr)]]*Table2[[#This Row],[Remaining Life:]])</f>
        <v/>
      </c>
      <c r="BX48" s="194" t="str">
        <f>IF(Table2[[#This Row],[Counter Number]]="","",IF(Table2[[#This Row],[Lifetime CO Reduction (tons)]]=0,"NA",Table2[[#This Row],[Upgrade Cost Per Unit]]/Table2[[#This Row],[Lifetime CO Reduction (tons)]]))</f>
        <v/>
      </c>
      <c r="BY48" s="180" t="str">
        <f>IF(Table2[[#This Row],[Counter Number]]="","",Table2[[#This Row],[Old ULSD Used (gal):]]*VLOOKUP(Table2[[#This Row],[Engine Model Year:]],EF!$A$2:$G$27,7,FALSE))</f>
        <v/>
      </c>
      <c r="BZ4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8" s="195" t="str">
        <f>IF(Table2[[#This Row],[Counter Number]]="","",Table2[[#This Row],[Old Bus CO2 Emissions (tons/yr)]]-Table2[[#This Row],[New Bus CO2 Emissions (tons/yr)]])</f>
        <v/>
      </c>
      <c r="CB48" s="188" t="str">
        <f>IF(Table2[[#This Row],[Counter Number]]="","",Table2[[#This Row],[Reduction Bus CO2 Emissions (tons/yr)]]/Table2[[#This Row],[Old Bus CO2 Emissions (tons/yr)]])</f>
        <v/>
      </c>
      <c r="CC48" s="195" t="str">
        <f>IF(Table2[[#This Row],[Counter Number]]="","",Table2[[#This Row],[Reduction Bus CO2 Emissions (tons/yr)]]*Table2[[#This Row],[Remaining Life:]])</f>
        <v/>
      </c>
      <c r="CD48" s="194" t="str">
        <f>IF(Table2[[#This Row],[Counter Number]]="","",IF(Table2[[#This Row],[Lifetime CO2 Reduction (tons)]]=0,"NA",Table2[[#This Row],[Upgrade Cost Per Unit]]/Table2[[#This Row],[Lifetime CO2 Reduction (tons)]]))</f>
        <v/>
      </c>
      <c r="CE48" s="182" t="str">
        <f>IF(Table2[[#This Row],[Counter Number]]="","",IF(Table2[[#This Row],[New ULSD Used (gal):]]="",Table2[[#This Row],[Old ULSD Used (gal):]],Table2[[#This Row],[Old ULSD Used (gal):]]-Table2[[#This Row],[New ULSD Used (gal):]]))</f>
        <v/>
      </c>
      <c r="CF48" s="196" t="str">
        <f>IF(Table2[[#This Row],[Counter Number]]="","",Table2[[#This Row],[Diesel Fuel Reduction (gal/yr)]]/Table2[[#This Row],[Old ULSD Used (gal):]])</f>
        <v/>
      </c>
      <c r="CG48" s="197" t="str">
        <f>IF(Table2[[#This Row],[Counter Number]]="","",Table2[[#This Row],[Diesel Fuel Reduction (gal/yr)]]*Table2[[#This Row],[Remaining Life:]])</f>
        <v/>
      </c>
    </row>
    <row r="49" spans="1:85">
      <c r="A49" s="184" t="str">
        <f>IF(A48&lt;Application!$D$24,A48+1,"")</f>
        <v/>
      </c>
      <c r="B49" s="60" t="str">
        <f>IF(Table2[[#This Row],[Counter Number]]="","",Application!$D$16)</f>
        <v/>
      </c>
      <c r="C49" s="60" t="str">
        <f>IF(Table2[[#This Row],[Counter Number]]="","",Application!$D$14)</f>
        <v/>
      </c>
      <c r="D49" s="60" t="str">
        <f>IF(Table2[[#This Row],[Counter Number]]="","",Table1[[#This Row],[Old Bus Number]])</f>
        <v/>
      </c>
      <c r="E49" s="60" t="str">
        <f>IF(Table2[[#This Row],[Counter Number]]="","",Application!$D$15)</f>
        <v/>
      </c>
      <c r="F49" s="60" t="str">
        <f>IF(Table2[[#This Row],[Counter Number]]="","","On Highway")</f>
        <v/>
      </c>
      <c r="G49" s="60" t="str">
        <f>IF(Table2[[#This Row],[Counter Number]]="","",I49)</f>
        <v/>
      </c>
      <c r="H49" s="60" t="str">
        <f>IF(Table2[[#This Row],[Counter Number]]="","","Georgia")</f>
        <v/>
      </c>
      <c r="I49" s="60" t="str">
        <f>IF(Table2[[#This Row],[Counter Number]]="","",Application!$D$16)</f>
        <v/>
      </c>
      <c r="J49" s="60" t="str">
        <f>IF(Table2[[#This Row],[Counter Number]]="","",Application!$D$21)</f>
        <v/>
      </c>
      <c r="K49" s="60" t="str">
        <f>IF(Table2[[#This Row],[Counter Number]]="","",Application!$J$21)</f>
        <v/>
      </c>
      <c r="L49" s="60" t="str">
        <f>IF(Table2[[#This Row],[Counter Number]]="","","School Bus")</f>
        <v/>
      </c>
      <c r="M49" s="60" t="str">
        <f>IF(Table2[[#This Row],[Counter Number]]="","","School Bus")</f>
        <v/>
      </c>
      <c r="N49" s="60" t="str">
        <f>IF(Table2[[#This Row],[Counter Number]]="","",1)</f>
        <v/>
      </c>
      <c r="O49" s="60" t="str">
        <f>IF(Table2[[#This Row],[Counter Number]]="","",Table1[[#This Row],[Vehicle Identification Number(s):]])</f>
        <v/>
      </c>
      <c r="P49" s="60" t="str">
        <f>IF(Table2[[#This Row],[Counter Number]]="","",Table1[[#This Row],[Old Bus Manufacturer:]])</f>
        <v/>
      </c>
      <c r="Q49" s="60" t="str">
        <f>IF(Table2[[#This Row],[Counter Number]]="","",Table1[[#This Row],[Vehicle Model:]])</f>
        <v/>
      </c>
      <c r="R49" s="165" t="str">
        <f>IF(Table2[[#This Row],[Counter Number]]="","",Table1[[#This Row],[Vehicle Model Year:]])</f>
        <v/>
      </c>
      <c r="S49" s="60" t="str">
        <f>IF(Table2[[#This Row],[Counter Number]]="","",Table1[[#This Row],[Engine Serial Number(s):]])</f>
        <v/>
      </c>
      <c r="T49" s="60" t="str">
        <f>IF(Table2[[#This Row],[Counter Number]]="","",Table1[[#This Row],[Engine Make:]])</f>
        <v/>
      </c>
      <c r="U49" s="60" t="str">
        <f>IF(Table2[[#This Row],[Counter Number]]="","",Table1[[#This Row],[Engine Model:]])</f>
        <v/>
      </c>
      <c r="V49" s="165" t="str">
        <f>IF(Table2[[#This Row],[Counter Number]]="","",Table1[[#This Row],[Engine Model Year:]])</f>
        <v/>
      </c>
      <c r="W49" s="60" t="str">
        <f>IF(Table2[[#This Row],[Counter Number]]="","","NA")</f>
        <v/>
      </c>
      <c r="X49" s="165" t="str">
        <f>IF(Table2[[#This Row],[Counter Number]]="","",Table1[[#This Row],[Engine Horsepower (HP):]])</f>
        <v/>
      </c>
      <c r="Y49" s="165" t="str">
        <f>IF(Table2[[#This Row],[Counter Number]]="","",Table1[[#This Row],[Engine Cylinder Displacement (L):]]&amp;" L")</f>
        <v/>
      </c>
      <c r="Z49" s="165" t="str">
        <f>IF(Table2[[#This Row],[Counter Number]]="","",Table1[[#This Row],[Engine Number of Cylinders:]])</f>
        <v/>
      </c>
      <c r="AA49" s="166" t="str">
        <f>IF(Table2[[#This Row],[Counter Number]]="","",Table1[[#This Row],[Engine Family Name:]])</f>
        <v/>
      </c>
      <c r="AB49" s="60" t="str">
        <f>IF(Table2[[#This Row],[Counter Number]]="","","ULSD")</f>
        <v/>
      </c>
      <c r="AC49" s="167" t="str">
        <f>IF(Table2[[#This Row],[Counter Number]]="","",Table2[[#This Row],[Annual Miles Traveled:]]/Table1[[#This Row],[Old Fuel (mpg)]])</f>
        <v/>
      </c>
      <c r="AD49" s="60" t="str">
        <f>IF(Table2[[#This Row],[Counter Number]]="","","NA")</f>
        <v/>
      </c>
      <c r="AE49" s="168" t="str">
        <f>IF(Table2[[#This Row],[Counter Number]]="","",Table1[[#This Row],[Annual Miles Traveled]])</f>
        <v/>
      </c>
      <c r="AF49" s="169" t="str">
        <f>IF(Table2[[#This Row],[Counter Number]]="","",Table1[[#This Row],[Annual Idling Hours:]])</f>
        <v/>
      </c>
      <c r="AG49" s="60" t="str">
        <f>IF(Table2[[#This Row],[Counter Number]]="","","NA")</f>
        <v/>
      </c>
      <c r="AH49" s="165" t="str">
        <f>IF(Table2[[#This Row],[Counter Number]]="","",IF(Application!$J$25="Set Policy",Table1[[#This Row],[Remaining Life (years)         Set Policy]],Table1[[#This Row],[Remaining Life (years)               Case-by-Case]]))</f>
        <v/>
      </c>
      <c r="AI49" s="165" t="str">
        <f>IF(Table2[[#This Row],[Counter Number]]="","",IF(Application!$J$25="Case-by-Case","NA",Table2[[#This Row],[Fiscal Year of EPA Funds Used:]]+Table2[[#This Row],[Remaining Life:]]))</f>
        <v/>
      </c>
      <c r="AJ49" s="165"/>
      <c r="AK49" s="170" t="str">
        <f>IF(Table2[[#This Row],[Counter Number]]="","",Application!$D$14+1)</f>
        <v/>
      </c>
      <c r="AL49" s="60" t="str">
        <f>IF(Table2[[#This Row],[Counter Number]]="","","Vehicle Replacement")</f>
        <v/>
      </c>
      <c r="AM4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9" s="171" t="str">
        <f>IF(Table2[[#This Row],[Counter Number]]="","",Table1[[#This Row],[Cost of New Bus:]])</f>
        <v/>
      </c>
      <c r="AO49" s="60" t="str">
        <f>IF(Table2[[#This Row],[Counter Number]]="","","NA")</f>
        <v/>
      </c>
      <c r="AP49" s="165" t="str">
        <f>IF(Table2[[#This Row],[Counter Number]]="","",Table1[[#This Row],[New Engine Model Year:]])</f>
        <v/>
      </c>
      <c r="AQ49" s="60" t="str">
        <f>IF(Table2[[#This Row],[Counter Number]]="","","NA")</f>
        <v/>
      </c>
      <c r="AR49" s="165" t="str">
        <f>IF(Table2[[#This Row],[Counter Number]]="","",Table1[[#This Row],[New Engine Horsepower (HP):]])</f>
        <v/>
      </c>
      <c r="AS49" s="60" t="str">
        <f>IF(Table2[[#This Row],[Counter Number]]="","","NA")</f>
        <v/>
      </c>
      <c r="AT49" s="165" t="str">
        <f>IF(Table2[[#This Row],[Counter Number]]="","",Table1[[#This Row],[New Engine Cylinder Displacement (L):]]&amp;" L")</f>
        <v/>
      </c>
      <c r="AU49" s="114" t="str">
        <f>IF(Table2[[#This Row],[Counter Number]]="","",Table1[[#This Row],[New Engine Number of Cylinders:]])</f>
        <v/>
      </c>
      <c r="AV49" s="60" t="str">
        <f>IF(Table2[[#This Row],[Counter Number]]="","",Table1[[#This Row],[New Engine Family Name:]])</f>
        <v/>
      </c>
      <c r="AW4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9" s="60" t="str">
        <f>IF(Table2[[#This Row],[Counter Number]]="","","NA")</f>
        <v/>
      </c>
      <c r="AY49" s="172" t="str">
        <f>IF(Table2[[#This Row],[Counter Number]]="","",IF(Table2[[#This Row],[New Engine Fuel Type:]]="ULSD",Table1[[#This Row],[Annual Miles Traveled]]/Table1[[#This Row],[New Fuel (mpg) if Diesel]],""))</f>
        <v/>
      </c>
      <c r="AZ49" s="60"/>
      <c r="BA49" s="173" t="str">
        <f>IF(Table2[[#This Row],[Counter Number]]="","",Table2[[#This Row],[Annual Miles Traveled:]]*VLOOKUP(Table2[[#This Row],[Engine Model Year:]],EFTable[],3,FALSE))</f>
        <v/>
      </c>
      <c r="BB49" s="173" t="str">
        <f>IF(Table2[[#This Row],[Counter Number]]="","",Table2[[#This Row],[Annual Miles Traveled:]]*IF(Table2[[#This Row],[New Engine Fuel Type:]]="ULSD",VLOOKUP(Table2[[#This Row],[New Engine Model Year:]],EFTable[],3,FALSE),VLOOKUP(Table2[[#This Row],[New Engine Fuel Type:]],EFTable[],3,FALSE)))</f>
        <v/>
      </c>
      <c r="BC49" s="187" t="str">
        <f>IF(Table2[[#This Row],[Counter Number]]="","",Table2[[#This Row],[Old Bus NOx Emissions (tons/yr)]]-Table2[[#This Row],[New Bus NOx Emissions (tons/yr)]])</f>
        <v/>
      </c>
      <c r="BD49" s="188" t="str">
        <f>IF(Table2[[#This Row],[Counter Number]]="","",Table2[[#This Row],[Reduction Bus NOx Emissions (tons/yr)]]/Table2[[#This Row],[Old Bus NOx Emissions (tons/yr)]])</f>
        <v/>
      </c>
      <c r="BE49" s="175" t="str">
        <f>IF(Table2[[#This Row],[Counter Number]]="","",Table2[[#This Row],[Reduction Bus NOx Emissions (tons/yr)]]*Table2[[#This Row],[Remaining Life:]])</f>
        <v/>
      </c>
      <c r="BF49" s="189" t="str">
        <f>IF(Table2[[#This Row],[Counter Number]]="","",IF(Table2[[#This Row],[Lifetime NOx Reduction (tons)]]=0,"NA",Table2[[#This Row],[Upgrade Cost Per Unit]]/Table2[[#This Row],[Lifetime NOx Reduction (tons)]]))</f>
        <v/>
      </c>
      <c r="BG49" s="190" t="str">
        <f>IF(Table2[[#This Row],[Counter Number]]="","",Table2[[#This Row],[Annual Miles Traveled:]]*VLOOKUP(Table2[[#This Row],[Engine Model Year:]],EF!$A$2:$G$27,4,FALSE))</f>
        <v/>
      </c>
      <c r="BH49" s="173" t="str">
        <f>IF(Table2[[#This Row],[Counter Number]]="","",Table2[[#This Row],[Annual Miles Traveled:]]*IF(Table2[[#This Row],[New Engine Fuel Type:]]="ULSD",VLOOKUP(Table2[[#This Row],[New Engine Model Year:]],EFTable[],4,FALSE),VLOOKUP(Table2[[#This Row],[New Engine Fuel Type:]],EFTable[],4,FALSE)))</f>
        <v/>
      </c>
      <c r="BI49" s="191" t="str">
        <f>IF(Table2[[#This Row],[Counter Number]]="","",Table2[[#This Row],[Old Bus PM2.5 Emissions (tons/yr)]]-Table2[[#This Row],[New Bus PM2.5 Emissions (tons/yr)]])</f>
        <v/>
      </c>
      <c r="BJ49" s="192" t="str">
        <f>IF(Table2[[#This Row],[Counter Number]]="","",Table2[[#This Row],[Reduction Bus PM2.5 Emissions (tons/yr)]]/Table2[[#This Row],[Old Bus PM2.5 Emissions (tons/yr)]])</f>
        <v/>
      </c>
      <c r="BK49" s="193" t="str">
        <f>IF(Table2[[#This Row],[Counter Number]]="","",Table2[[#This Row],[Reduction Bus PM2.5 Emissions (tons/yr)]]*Table2[[#This Row],[Remaining Life:]])</f>
        <v/>
      </c>
      <c r="BL49" s="194" t="str">
        <f>IF(Table2[[#This Row],[Counter Number]]="","",IF(Table2[[#This Row],[Lifetime PM2.5 Reduction (tons)]]=0,"NA",Table2[[#This Row],[Upgrade Cost Per Unit]]/Table2[[#This Row],[Lifetime PM2.5 Reduction (tons)]]))</f>
        <v/>
      </c>
      <c r="BM49" s="179" t="str">
        <f>IF(Table2[[#This Row],[Counter Number]]="","",Table2[[#This Row],[Annual Miles Traveled:]]*VLOOKUP(Table2[[#This Row],[Engine Model Year:]],EF!$A$2:$G$40,5,FALSE))</f>
        <v/>
      </c>
      <c r="BN49" s="173" t="str">
        <f>IF(Table2[[#This Row],[Counter Number]]="","",Table2[[#This Row],[Annual Miles Traveled:]]*IF(Table2[[#This Row],[New Engine Fuel Type:]]="ULSD",VLOOKUP(Table2[[#This Row],[New Engine Model Year:]],EFTable[],5,FALSE),VLOOKUP(Table2[[#This Row],[New Engine Fuel Type:]],EFTable[],5,FALSE)))</f>
        <v/>
      </c>
      <c r="BO49" s="190" t="str">
        <f>IF(Table2[[#This Row],[Counter Number]]="","",Table2[[#This Row],[Old Bus HC Emissions (tons/yr)]]-Table2[[#This Row],[New Bus HC Emissions (tons/yr)]])</f>
        <v/>
      </c>
      <c r="BP49" s="188" t="str">
        <f>IF(Table2[[#This Row],[Counter Number]]="","",Table2[[#This Row],[Reduction Bus HC Emissions (tons/yr)]]/Table2[[#This Row],[Old Bus HC Emissions (tons/yr)]])</f>
        <v/>
      </c>
      <c r="BQ49" s="193" t="str">
        <f>IF(Table2[[#This Row],[Counter Number]]="","",Table2[[#This Row],[Reduction Bus HC Emissions (tons/yr)]]*Table2[[#This Row],[Remaining Life:]])</f>
        <v/>
      </c>
      <c r="BR49" s="194" t="str">
        <f>IF(Table2[[#This Row],[Counter Number]]="","",IF(Table2[[#This Row],[Lifetime HC Reduction (tons)]]=0,"NA",Table2[[#This Row],[Upgrade Cost Per Unit]]/Table2[[#This Row],[Lifetime HC Reduction (tons)]]))</f>
        <v/>
      </c>
      <c r="BS49" s="191" t="str">
        <f>IF(Table2[[#This Row],[Counter Number]]="","",Table2[[#This Row],[Annual Miles Traveled:]]*VLOOKUP(Table2[[#This Row],[Engine Model Year:]],EF!$A$2:$G$27,6,FALSE))</f>
        <v/>
      </c>
      <c r="BT49" s="173" t="str">
        <f>IF(Table2[[#This Row],[Counter Number]]="","",Table2[[#This Row],[Annual Miles Traveled:]]*IF(Table2[[#This Row],[New Engine Fuel Type:]]="ULSD",VLOOKUP(Table2[[#This Row],[New Engine Model Year:]],EFTable[],6,FALSE),VLOOKUP(Table2[[#This Row],[New Engine Fuel Type:]],EFTable[],6,FALSE)))</f>
        <v/>
      </c>
      <c r="BU49" s="190" t="str">
        <f>IF(Table2[[#This Row],[Counter Number]]="","",Table2[[#This Row],[Old Bus CO Emissions (tons/yr)]]-Table2[[#This Row],[New Bus CO Emissions (tons/yr)]])</f>
        <v/>
      </c>
      <c r="BV49" s="188" t="str">
        <f>IF(Table2[[#This Row],[Counter Number]]="","",Table2[[#This Row],[Reduction Bus CO Emissions (tons/yr)]]/Table2[[#This Row],[Old Bus CO Emissions (tons/yr)]])</f>
        <v/>
      </c>
      <c r="BW49" s="193" t="str">
        <f>IF(Table2[[#This Row],[Counter Number]]="","",Table2[[#This Row],[Reduction Bus CO Emissions (tons/yr)]]*Table2[[#This Row],[Remaining Life:]])</f>
        <v/>
      </c>
      <c r="BX49" s="194" t="str">
        <f>IF(Table2[[#This Row],[Counter Number]]="","",IF(Table2[[#This Row],[Lifetime CO Reduction (tons)]]=0,"NA",Table2[[#This Row],[Upgrade Cost Per Unit]]/Table2[[#This Row],[Lifetime CO Reduction (tons)]]))</f>
        <v/>
      </c>
      <c r="BY49" s="180" t="str">
        <f>IF(Table2[[#This Row],[Counter Number]]="","",Table2[[#This Row],[Old ULSD Used (gal):]]*VLOOKUP(Table2[[#This Row],[Engine Model Year:]],EF!$A$2:$G$27,7,FALSE))</f>
        <v/>
      </c>
      <c r="BZ4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9" s="195" t="str">
        <f>IF(Table2[[#This Row],[Counter Number]]="","",Table2[[#This Row],[Old Bus CO2 Emissions (tons/yr)]]-Table2[[#This Row],[New Bus CO2 Emissions (tons/yr)]])</f>
        <v/>
      </c>
      <c r="CB49" s="188" t="str">
        <f>IF(Table2[[#This Row],[Counter Number]]="","",Table2[[#This Row],[Reduction Bus CO2 Emissions (tons/yr)]]/Table2[[#This Row],[Old Bus CO2 Emissions (tons/yr)]])</f>
        <v/>
      </c>
      <c r="CC49" s="195" t="str">
        <f>IF(Table2[[#This Row],[Counter Number]]="","",Table2[[#This Row],[Reduction Bus CO2 Emissions (tons/yr)]]*Table2[[#This Row],[Remaining Life:]])</f>
        <v/>
      </c>
      <c r="CD49" s="194" t="str">
        <f>IF(Table2[[#This Row],[Counter Number]]="","",IF(Table2[[#This Row],[Lifetime CO2 Reduction (tons)]]=0,"NA",Table2[[#This Row],[Upgrade Cost Per Unit]]/Table2[[#This Row],[Lifetime CO2 Reduction (tons)]]))</f>
        <v/>
      </c>
      <c r="CE49" s="182" t="str">
        <f>IF(Table2[[#This Row],[Counter Number]]="","",IF(Table2[[#This Row],[New ULSD Used (gal):]]="",Table2[[#This Row],[Old ULSD Used (gal):]],Table2[[#This Row],[Old ULSD Used (gal):]]-Table2[[#This Row],[New ULSD Used (gal):]]))</f>
        <v/>
      </c>
      <c r="CF49" s="196" t="str">
        <f>IF(Table2[[#This Row],[Counter Number]]="","",Table2[[#This Row],[Diesel Fuel Reduction (gal/yr)]]/Table2[[#This Row],[Old ULSD Used (gal):]])</f>
        <v/>
      </c>
      <c r="CG49" s="197" t="str">
        <f>IF(Table2[[#This Row],[Counter Number]]="","",Table2[[#This Row],[Diesel Fuel Reduction (gal/yr)]]*Table2[[#This Row],[Remaining Life:]])</f>
        <v/>
      </c>
    </row>
    <row r="50" spans="1:85">
      <c r="A50" s="184" t="str">
        <f>IF(A49&lt;Application!$D$24,A49+1,"")</f>
        <v/>
      </c>
      <c r="B50" s="60" t="str">
        <f>IF(Table2[[#This Row],[Counter Number]]="","",Application!$D$16)</f>
        <v/>
      </c>
      <c r="C50" s="60" t="str">
        <f>IF(Table2[[#This Row],[Counter Number]]="","",Application!$D$14)</f>
        <v/>
      </c>
      <c r="D50" s="60" t="str">
        <f>IF(Table2[[#This Row],[Counter Number]]="","",Table1[[#This Row],[Old Bus Number]])</f>
        <v/>
      </c>
      <c r="E50" s="60" t="str">
        <f>IF(Table2[[#This Row],[Counter Number]]="","",Application!$D$15)</f>
        <v/>
      </c>
      <c r="F50" s="60" t="str">
        <f>IF(Table2[[#This Row],[Counter Number]]="","","On Highway")</f>
        <v/>
      </c>
      <c r="G50" s="60" t="str">
        <f>IF(Table2[[#This Row],[Counter Number]]="","",I50)</f>
        <v/>
      </c>
      <c r="H50" s="60" t="str">
        <f>IF(Table2[[#This Row],[Counter Number]]="","","Georgia")</f>
        <v/>
      </c>
      <c r="I50" s="60" t="str">
        <f>IF(Table2[[#This Row],[Counter Number]]="","",Application!$D$16)</f>
        <v/>
      </c>
      <c r="J50" s="60" t="str">
        <f>IF(Table2[[#This Row],[Counter Number]]="","",Application!$D$21)</f>
        <v/>
      </c>
      <c r="K50" s="60" t="str">
        <f>IF(Table2[[#This Row],[Counter Number]]="","",Application!$J$21)</f>
        <v/>
      </c>
      <c r="L50" s="60" t="str">
        <f>IF(Table2[[#This Row],[Counter Number]]="","","School Bus")</f>
        <v/>
      </c>
      <c r="M50" s="60" t="str">
        <f>IF(Table2[[#This Row],[Counter Number]]="","","School Bus")</f>
        <v/>
      </c>
      <c r="N50" s="60" t="str">
        <f>IF(Table2[[#This Row],[Counter Number]]="","",1)</f>
        <v/>
      </c>
      <c r="O50" s="60" t="str">
        <f>IF(Table2[[#This Row],[Counter Number]]="","",Table1[[#This Row],[Vehicle Identification Number(s):]])</f>
        <v/>
      </c>
      <c r="P50" s="60" t="str">
        <f>IF(Table2[[#This Row],[Counter Number]]="","",Table1[[#This Row],[Old Bus Manufacturer:]])</f>
        <v/>
      </c>
      <c r="Q50" s="60" t="str">
        <f>IF(Table2[[#This Row],[Counter Number]]="","",Table1[[#This Row],[Vehicle Model:]])</f>
        <v/>
      </c>
      <c r="R50" s="165" t="str">
        <f>IF(Table2[[#This Row],[Counter Number]]="","",Table1[[#This Row],[Vehicle Model Year:]])</f>
        <v/>
      </c>
      <c r="S50" s="60" t="str">
        <f>IF(Table2[[#This Row],[Counter Number]]="","",Table1[[#This Row],[Engine Serial Number(s):]])</f>
        <v/>
      </c>
      <c r="T50" s="60" t="str">
        <f>IF(Table2[[#This Row],[Counter Number]]="","",Table1[[#This Row],[Engine Make:]])</f>
        <v/>
      </c>
      <c r="U50" s="60" t="str">
        <f>IF(Table2[[#This Row],[Counter Number]]="","",Table1[[#This Row],[Engine Model:]])</f>
        <v/>
      </c>
      <c r="V50" s="165" t="str">
        <f>IF(Table2[[#This Row],[Counter Number]]="","",Table1[[#This Row],[Engine Model Year:]])</f>
        <v/>
      </c>
      <c r="W50" s="60" t="str">
        <f>IF(Table2[[#This Row],[Counter Number]]="","","NA")</f>
        <v/>
      </c>
      <c r="X50" s="165" t="str">
        <f>IF(Table2[[#This Row],[Counter Number]]="","",Table1[[#This Row],[Engine Horsepower (HP):]])</f>
        <v/>
      </c>
      <c r="Y50" s="165" t="str">
        <f>IF(Table2[[#This Row],[Counter Number]]="","",Table1[[#This Row],[Engine Cylinder Displacement (L):]]&amp;" L")</f>
        <v/>
      </c>
      <c r="Z50" s="165" t="str">
        <f>IF(Table2[[#This Row],[Counter Number]]="","",Table1[[#This Row],[Engine Number of Cylinders:]])</f>
        <v/>
      </c>
      <c r="AA50" s="166" t="str">
        <f>IF(Table2[[#This Row],[Counter Number]]="","",Table1[[#This Row],[Engine Family Name:]])</f>
        <v/>
      </c>
      <c r="AB50" s="60" t="str">
        <f>IF(Table2[[#This Row],[Counter Number]]="","","ULSD")</f>
        <v/>
      </c>
      <c r="AC50" s="167" t="str">
        <f>IF(Table2[[#This Row],[Counter Number]]="","",Table2[[#This Row],[Annual Miles Traveled:]]/Table1[[#This Row],[Old Fuel (mpg)]])</f>
        <v/>
      </c>
      <c r="AD50" s="60" t="str">
        <f>IF(Table2[[#This Row],[Counter Number]]="","","NA")</f>
        <v/>
      </c>
      <c r="AE50" s="168" t="str">
        <f>IF(Table2[[#This Row],[Counter Number]]="","",Table1[[#This Row],[Annual Miles Traveled]])</f>
        <v/>
      </c>
      <c r="AF50" s="169" t="str">
        <f>IF(Table2[[#This Row],[Counter Number]]="","",Table1[[#This Row],[Annual Idling Hours:]])</f>
        <v/>
      </c>
      <c r="AG50" s="60" t="str">
        <f>IF(Table2[[#This Row],[Counter Number]]="","","NA")</f>
        <v/>
      </c>
      <c r="AH50" s="165" t="str">
        <f>IF(Table2[[#This Row],[Counter Number]]="","",IF(Application!$J$25="Set Policy",Table1[[#This Row],[Remaining Life (years)         Set Policy]],Table1[[#This Row],[Remaining Life (years)               Case-by-Case]]))</f>
        <v/>
      </c>
      <c r="AI50" s="165" t="str">
        <f>IF(Table2[[#This Row],[Counter Number]]="","",IF(Application!$J$25="Case-by-Case","NA",Table2[[#This Row],[Fiscal Year of EPA Funds Used:]]+Table2[[#This Row],[Remaining Life:]]))</f>
        <v/>
      </c>
      <c r="AJ50" s="165"/>
      <c r="AK50" s="170" t="str">
        <f>IF(Table2[[#This Row],[Counter Number]]="","",Application!$D$14+1)</f>
        <v/>
      </c>
      <c r="AL50" s="60" t="str">
        <f>IF(Table2[[#This Row],[Counter Number]]="","","Vehicle Replacement")</f>
        <v/>
      </c>
      <c r="AM5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0" s="171" t="str">
        <f>IF(Table2[[#This Row],[Counter Number]]="","",Table1[[#This Row],[Cost of New Bus:]])</f>
        <v/>
      </c>
      <c r="AO50" s="60" t="str">
        <f>IF(Table2[[#This Row],[Counter Number]]="","","NA")</f>
        <v/>
      </c>
      <c r="AP50" s="165" t="str">
        <f>IF(Table2[[#This Row],[Counter Number]]="","",Table1[[#This Row],[New Engine Model Year:]])</f>
        <v/>
      </c>
      <c r="AQ50" s="60" t="str">
        <f>IF(Table2[[#This Row],[Counter Number]]="","","NA")</f>
        <v/>
      </c>
      <c r="AR50" s="165" t="str">
        <f>IF(Table2[[#This Row],[Counter Number]]="","",Table1[[#This Row],[New Engine Horsepower (HP):]])</f>
        <v/>
      </c>
      <c r="AS50" s="60" t="str">
        <f>IF(Table2[[#This Row],[Counter Number]]="","","NA")</f>
        <v/>
      </c>
      <c r="AT50" s="165" t="str">
        <f>IF(Table2[[#This Row],[Counter Number]]="","",Table1[[#This Row],[New Engine Cylinder Displacement (L):]]&amp;" L")</f>
        <v/>
      </c>
      <c r="AU50" s="114" t="str">
        <f>IF(Table2[[#This Row],[Counter Number]]="","",Table1[[#This Row],[New Engine Number of Cylinders:]])</f>
        <v/>
      </c>
      <c r="AV50" s="60" t="str">
        <f>IF(Table2[[#This Row],[Counter Number]]="","",Table1[[#This Row],[New Engine Family Name:]])</f>
        <v/>
      </c>
      <c r="AW5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0" s="60" t="str">
        <f>IF(Table2[[#This Row],[Counter Number]]="","","NA")</f>
        <v/>
      </c>
      <c r="AY50" s="172" t="str">
        <f>IF(Table2[[#This Row],[Counter Number]]="","",IF(Table2[[#This Row],[New Engine Fuel Type:]]="ULSD",Table1[[#This Row],[Annual Miles Traveled]]/Table1[[#This Row],[New Fuel (mpg) if Diesel]],""))</f>
        <v/>
      </c>
      <c r="AZ50" s="60"/>
      <c r="BA50" s="173" t="str">
        <f>IF(Table2[[#This Row],[Counter Number]]="","",Table2[[#This Row],[Annual Miles Traveled:]]*VLOOKUP(Table2[[#This Row],[Engine Model Year:]],EFTable[],3,FALSE))</f>
        <v/>
      </c>
      <c r="BB50" s="173" t="str">
        <f>IF(Table2[[#This Row],[Counter Number]]="","",Table2[[#This Row],[Annual Miles Traveled:]]*IF(Table2[[#This Row],[New Engine Fuel Type:]]="ULSD",VLOOKUP(Table2[[#This Row],[New Engine Model Year:]],EFTable[],3,FALSE),VLOOKUP(Table2[[#This Row],[New Engine Fuel Type:]],EFTable[],3,FALSE)))</f>
        <v/>
      </c>
      <c r="BC50" s="187" t="str">
        <f>IF(Table2[[#This Row],[Counter Number]]="","",Table2[[#This Row],[Old Bus NOx Emissions (tons/yr)]]-Table2[[#This Row],[New Bus NOx Emissions (tons/yr)]])</f>
        <v/>
      </c>
      <c r="BD50" s="188" t="str">
        <f>IF(Table2[[#This Row],[Counter Number]]="","",Table2[[#This Row],[Reduction Bus NOx Emissions (tons/yr)]]/Table2[[#This Row],[Old Bus NOx Emissions (tons/yr)]])</f>
        <v/>
      </c>
      <c r="BE50" s="175" t="str">
        <f>IF(Table2[[#This Row],[Counter Number]]="","",Table2[[#This Row],[Reduction Bus NOx Emissions (tons/yr)]]*Table2[[#This Row],[Remaining Life:]])</f>
        <v/>
      </c>
      <c r="BF50" s="189" t="str">
        <f>IF(Table2[[#This Row],[Counter Number]]="","",IF(Table2[[#This Row],[Lifetime NOx Reduction (tons)]]=0,"NA",Table2[[#This Row],[Upgrade Cost Per Unit]]/Table2[[#This Row],[Lifetime NOx Reduction (tons)]]))</f>
        <v/>
      </c>
      <c r="BG50" s="190" t="str">
        <f>IF(Table2[[#This Row],[Counter Number]]="","",Table2[[#This Row],[Annual Miles Traveled:]]*VLOOKUP(Table2[[#This Row],[Engine Model Year:]],EF!$A$2:$G$27,4,FALSE))</f>
        <v/>
      </c>
      <c r="BH50" s="173" t="str">
        <f>IF(Table2[[#This Row],[Counter Number]]="","",Table2[[#This Row],[Annual Miles Traveled:]]*IF(Table2[[#This Row],[New Engine Fuel Type:]]="ULSD",VLOOKUP(Table2[[#This Row],[New Engine Model Year:]],EFTable[],4,FALSE),VLOOKUP(Table2[[#This Row],[New Engine Fuel Type:]],EFTable[],4,FALSE)))</f>
        <v/>
      </c>
      <c r="BI50" s="191" t="str">
        <f>IF(Table2[[#This Row],[Counter Number]]="","",Table2[[#This Row],[Old Bus PM2.5 Emissions (tons/yr)]]-Table2[[#This Row],[New Bus PM2.5 Emissions (tons/yr)]])</f>
        <v/>
      </c>
      <c r="BJ50" s="192" t="str">
        <f>IF(Table2[[#This Row],[Counter Number]]="","",Table2[[#This Row],[Reduction Bus PM2.5 Emissions (tons/yr)]]/Table2[[#This Row],[Old Bus PM2.5 Emissions (tons/yr)]])</f>
        <v/>
      </c>
      <c r="BK50" s="193" t="str">
        <f>IF(Table2[[#This Row],[Counter Number]]="","",Table2[[#This Row],[Reduction Bus PM2.5 Emissions (tons/yr)]]*Table2[[#This Row],[Remaining Life:]])</f>
        <v/>
      </c>
      <c r="BL50" s="194" t="str">
        <f>IF(Table2[[#This Row],[Counter Number]]="","",IF(Table2[[#This Row],[Lifetime PM2.5 Reduction (tons)]]=0,"NA",Table2[[#This Row],[Upgrade Cost Per Unit]]/Table2[[#This Row],[Lifetime PM2.5 Reduction (tons)]]))</f>
        <v/>
      </c>
      <c r="BM50" s="179" t="str">
        <f>IF(Table2[[#This Row],[Counter Number]]="","",Table2[[#This Row],[Annual Miles Traveled:]]*VLOOKUP(Table2[[#This Row],[Engine Model Year:]],EF!$A$2:$G$40,5,FALSE))</f>
        <v/>
      </c>
      <c r="BN50" s="173" t="str">
        <f>IF(Table2[[#This Row],[Counter Number]]="","",Table2[[#This Row],[Annual Miles Traveled:]]*IF(Table2[[#This Row],[New Engine Fuel Type:]]="ULSD",VLOOKUP(Table2[[#This Row],[New Engine Model Year:]],EFTable[],5,FALSE),VLOOKUP(Table2[[#This Row],[New Engine Fuel Type:]],EFTable[],5,FALSE)))</f>
        <v/>
      </c>
      <c r="BO50" s="190" t="str">
        <f>IF(Table2[[#This Row],[Counter Number]]="","",Table2[[#This Row],[Old Bus HC Emissions (tons/yr)]]-Table2[[#This Row],[New Bus HC Emissions (tons/yr)]])</f>
        <v/>
      </c>
      <c r="BP50" s="188" t="str">
        <f>IF(Table2[[#This Row],[Counter Number]]="","",Table2[[#This Row],[Reduction Bus HC Emissions (tons/yr)]]/Table2[[#This Row],[Old Bus HC Emissions (tons/yr)]])</f>
        <v/>
      </c>
      <c r="BQ50" s="193" t="str">
        <f>IF(Table2[[#This Row],[Counter Number]]="","",Table2[[#This Row],[Reduction Bus HC Emissions (tons/yr)]]*Table2[[#This Row],[Remaining Life:]])</f>
        <v/>
      </c>
      <c r="BR50" s="194" t="str">
        <f>IF(Table2[[#This Row],[Counter Number]]="","",IF(Table2[[#This Row],[Lifetime HC Reduction (tons)]]=0,"NA",Table2[[#This Row],[Upgrade Cost Per Unit]]/Table2[[#This Row],[Lifetime HC Reduction (tons)]]))</f>
        <v/>
      </c>
      <c r="BS50" s="191" t="str">
        <f>IF(Table2[[#This Row],[Counter Number]]="","",Table2[[#This Row],[Annual Miles Traveled:]]*VLOOKUP(Table2[[#This Row],[Engine Model Year:]],EF!$A$2:$G$27,6,FALSE))</f>
        <v/>
      </c>
      <c r="BT50" s="173" t="str">
        <f>IF(Table2[[#This Row],[Counter Number]]="","",Table2[[#This Row],[Annual Miles Traveled:]]*IF(Table2[[#This Row],[New Engine Fuel Type:]]="ULSD",VLOOKUP(Table2[[#This Row],[New Engine Model Year:]],EFTable[],6,FALSE),VLOOKUP(Table2[[#This Row],[New Engine Fuel Type:]],EFTable[],6,FALSE)))</f>
        <v/>
      </c>
      <c r="BU50" s="190" t="str">
        <f>IF(Table2[[#This Row],[Counter Number]]="","",Table2[[#This Row],[Old Bus CO Emissions (tons/yr)]]-Table2[[#This Row],[New Bus CO Emissions (tons/yr)]])</f>
        <v/>
      </c>
      <c r="BV50" s="188" t="str">
        <f>IF(Table2[[#This Row],[Counter Number]]="","",Table2[[#This Row],[Reduction Bus CO Emissions (tons/yr)]]/Table2[[#This Row],[Old Bus CO Emissions (tons/yr)]])</f>
        <v/>
      </c>
      <c r="BW50" s="193" t="str">
        <f>IF(Table2[[#This Row],[Counter Number]]="","",Table2[[#This Row],[Reduction Bus CO Emissions (tons/yr)]]*Table2[[#This Row],[Remaining Life:]])</f>
        <v/>
      </c>
      <c r="BX50" s="194" t="str">
        <f>IF(Table2[[#This Row],[Counter Number]]="","",IF(Table2[[#This Row],[Lifetime CO Reduction (tons)]]=0,"NA",Table2[[#This Row],[Upgrade Cost Per Unit]]/Table2[[#This Row],[Lifetime CO Reduction (tons)]]))</f>
        <v/>
      </c>
      <c r="BY50" s="180" t="str">
        <f>IF(Table2[[#This Row],[Counter Number]]="","",Table2[[#This Row],[Old ULSD Used (gal):]]*VLOOKUP(Table2[[#This Row],[Engine Model Year:]],EF!$A$2:$G$27,7,FALSE))</f>
        <v/>
      </c>
      <c r="BZ5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0" s="195" t="str">
        <f>IF(Table2[[#This Row],[Counter Number]]="","",Table2[[#This Row],[Old Bus CO2 Emissions (tons/yr)]]-Table2[[#This Row],[New Bus CO2 Emissions (tons/yr)]])</f>
        <v/>
      </c>
      <c r="CB50" s="188" t="str">
        <f>IF(Table2[[#This Row],[Counter Number]]="","",Table2[[#This Row],[Reduction Bus CO2 Emissions (tons/yr)]]/Table2[[#This Row],[Old Bus CO2 Emissions (tons/yr)]])</f>
        <v/>
      </c>
      <c r="CC50" s="195" t="str">
        <f>IF(Table2[[#This Row],[Counter Number]]="","",Table2[[#This Row],[Reduction Bus CO2 Emissions (tons/yr)]]*Table2[[#This Row],[Remaining Life:]])</f>
        <v/>
      </c>
      <c r="CD50" s="194" t="str">
        <f>IF(Table2[[#This Row],[Counter Number]]="","",IF(Table2[[#This Row],[Lifetime CO2 Reduction (tons)]]=0,"NA",Table2[[#This Row],[Upgrade Cost Per Unit]]/Table2[[#This Row],[Lifetime CO2 Reduction (tons)]]))</f>
        <v/>
      </c>
      <c r="CE50" s="182" t="str">
        <f>IF(Table2[[#This Row],[Counter Number]]="","",IF(Table2[[#This Row],[New ULSD Used (gal):]]="",Table2[[#This Row],[Old ULSD Used (gal):]],Table2[[#This Row],[Old ULSD Used (gal):]]-Table2[[#This Row],[New ULSD Used (gal):]]))</f>
        <v/>
      </c>
      <c r="CF50" s="196" t="str">
        <f>IF(Table2[[#This Row],[Counter Number]]="","",Table2[[#This Row],[Diesel Fuel Reduction (gal/yr)]]/Table2[[#This Row],[Old ULSD Used (gal):]])</f>
        <v/>
      </c>
      <c r="CG50" s="197" t="str">
        <f>IF(Table2[[#This Row],[Counter Number]]="","",Table2[[#This Row],[Diesel Fuel Reduction (gal/yr)]]*Table2[[#This Row],[Remaining Life:]])</f>
        <v/>
      </c>
    </row>
    <row r="51" spans="1:85">
      <c r="A51" s="184" t="str">
        <f>IF(A50&lt;Application!$D$24,A50+1,"")</f>
        <v/>
      </c>
      <c r="B51" s="60" t="str">
        <f>IF(Table2[[#This Row],[Counter Number]]="","",Application!$D$16)</f>
        <v/>
      </c>
      <c r="C51" s="60" t="str">
        <f>IF(Table2[[#This Row],[Counter Number]]="","",Application!$D$14)</f>
        <v/>
      </c>
      <c r="D51" s="60" t="str">
        <f>IF(Table2[[#This Row],[Counter Number]]="","",Table1[[#This Row],[Old Bus Number]])</f>
        <v/>
      </c>
      <c r="E51" s="60" t="str">
        <f>IF(Table2[[#This Row],[Counter Number]]="","",Application!$D$15)</f>
        <v/>
      </c>
      <c r="F51" s="60" t="str">
        <f>IF(Table2[[#This Row],[Counter Number]]="","","On Highway")</f>
        <v/>
      </c>
      <c r="G51" s="60" t="str">
        <f>IF(Table2[[#This Row],[Counter Number]]="","",I51)</f>
        <v/>
      </c>
      <c r="H51" s="60" t="str">
        <f>IF(Table2[[#This Row],[Counter Number]]="","","Georgia")</f>
        <v/>
      </c>
      <c r="I51" s="60" t="str">
        <f>IF(Table2[[#This Row],[Counter Number]]="","",Application!$D$16)</f>
        <v/>
      </c>
      <c r="J51" s="60" t="str">
        <f>IF(Table2[[#This Row],[Counter Number]]="","",Application!$D$21)</f>
        <v/>
      </c>
      <c r="K51" s="60" t="str">
        <f>IF(Table2[[#This Row],[Counter Number]]="","",Application!$J$21)</f>
        <v/>
      </c>
      <c r="L51" s="60" t="str">
        <f>IF(Table2[[#This Row],[Counter Number]]="","","School Bus")</f>
        <v/>
      </c>
      <c r="M51" s="60" t="str">
        <f>IF(Table2[[#This Row],[Counter Number]]="","","School Bus")</f>
        <v/>
      </c>
      <c r="N51" s="60" t="str">
        <f>IF(Table2[[#This Row],[Counter Number]]="","",1)</f>
        <v/>
      </c>
      <c r="O51" s="60" t="str">
        <f>IF(Table2[[#This Row],[Counter Number]]="","",Table1[[#This Row],[Vehicle Identification Number(s):]])</f>
        <v/>
      </c>
      <c r="P51" s="60" t="str">
        <f>IF(Table2[[#This Row],[Counter Number]]="","",Table1[[#This Row],[Old Bus Manufacturer:]])</f>
        <v/>
      </c>
      <c r="Q51" s="60" t="str">
        <f>IF(Table2[[#This Row],[Counter Number]]="","",Table1[[#This Row],[Vehicle Model:]])</f>
        <v/>
      </c>
      <c r="R51" s="165" t="str">
        <f>IF(Table2[[#This Row],[Counter Number]]="","",Table1[[#This Row],[Vehicle Model Year:]])</f>
        <v/>
      </c>
      <c r="S51" s="60" t="str">
        <f>IF(Table2[[#This Row],[Counter Number]]="","",Table1[[#This Row],[Engine Serial Number(s):]])</f>
        <v/>
      </c>
      <c r="T51" s="60" t="str">
        <f>IF(Table2[[#This Row],[Counter Number]]="","",Table1[[#This Row],[Engine Make:]])</f>
        <v/>
      </c>
      <c r="U51" s="60" t="str">
        <f>IF(Table2[[#This Row],[Counter Number]]="","",Table1[[#This Row],[Engine Model:]])</f>
        <v/>
      </c>
      <c r="V51" s="165" t="str">
        <f>IF(Table2[[#This Row],[Counter Number]]="","",Table1[[#This Row],[Engine Model Year:]])</f>
        <v/>
      </c>
      <c r="W51" s="60" t="str">
        <f>IF(Table2[[#This Row],[Counter Number]]="","","NA")</f>
        <v/>
      </c>
      <c r="X51" s="165" t="str">
        <f>IF(Table2[[#This Row],[Counter Number]]="","",Table1[[#This Row],[Engine Horsepower (HP):]])</f>
        <v/>
      </c>
      <c r="Y51" s="165" t="str">
        <f>IF(Table2[[#This Row],[Counter Number]]="","",Table1[[#This Row],[Engine Cylinder Displacement (L):]]&amp;" L")</f>
        <v/>
      </c>
      <c r="Z51" s="165" t="str">
        <f>IF(Table2[[#This Row],[Counter Number]]="","",Table1[[#This Row],[Engine Number of Cylinders:]])</f>
        <v/>
      </c>
      <c r="AA51" s="166" t="str">
        <f>IF(Table2[[#This Row],[Counter Number]]="","",Table1[[#This Row],[Engine Family Name:]])</f>
        <v/>
      </c>
      <c r="AB51" s="60" t="str">
        <f>IF(Table2[[#This Row],[Counter Number]]="","","ULSD")</f>
        <v/>
      </c>
      <c r="AC51" s="167" t="str">
        <f>IF(Table2[[#This Row],[Counter Number]]="","",Table2[[#This Row],[Annual Miles Traveled:]]/Table1[[#This Row],[Old Fuel (mpg)]])</f>
        <v/>
      </c>
      <c r="AD51" s="60" t="str">
        <f>IF(Table2[[#This Row],[Counter Number]]="","","NA")</f>
        <v/>
      </c>
      <c r="AE51" s="168" t="str">
        <f>IF(Table2[[#This Row],[Counter Number]]="","",Table1[[#This Row],[Annual Miles Traveled]])</f>
        <v/>
      </c>
      <c r="AF51" s="169" t="str">
        <f>IF(Table2[[#This Row],[Counter Number]]="","",Table1[[#This Row],[Annual Idling Hours:]])</f>
        <v/>
      </c>
      <c r="AG51" s="60" t="str">
        <f>IF(Table2[[#This Row],[Counter Number]]="","","NA")</f>
        <v/>
      </c>
      <c r="AH51" s="165" t="str">
        <f>IF(Table2[[#This Row],[Counter Number]]="","",IF(Application!$J$25="Set Policy",Table1[[#This Row],[Remaining Life (years)         Set Policy]],Table1[[#This Row],[Remaining Life (years)               Case-by-Case]]))</f>
        <v/>
      </c>
      <c r="AI51" s="165" t="str">
        <f>IF(Table2[[#This Row],[Counter Number]]="","",IF(Application!$J$25="Case-by-Case","NA",Table2[[#This Row],[Fiscal Year of EPA Funds Used:]]+Table2[[#This Row],[Remaining Life:]]))</f>
        <v/>
      </c>
      <c r="AJ51" s="165"/>
      <c r="AK51" s="170" t="str">
        <f>IF(Table2[[#This Row],[Counter Number]]="","",Application!$D$14+1)</f>
        <v/>
      </c>
      <c r="AL51" s="60" t="str">
        <f>IF(Table2[[#This Row],[Counter Number]]="","","Vehicle Replacement")</f>
        <v/>
      </c>
      <c r="AM5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1" s="171" t="str">
        <f>IF(Table2[[#This Row],[Counter Number]]="","",Table1[[#This Row],[Cost of New Bus:]])</f>
        <v/>
      </c>
      <c r="AO51" s="60" t="str">
        <f>IF(Table2[[#This Row],[Counter Number]]="","","NA")</f>
        <v/>
      </c>
      <c r="AP51" s="165" t="str">
        <f>IF(Table2[[#This Row],[Counter Number]]="","",Table1[[#This Row],[New Engine Model Year:]])</f>
        <v/>
      </c>
      <c r="AQ51" s="60" t="str">
        <f>IF(Table2[[#This Row],[Counter Number]]="","","NA")</f>
        <v/>
      </c>
      <c r="AR51" s="165" t="str">
        <f>IF(Table2[[#This Row],[Counter Number]]="","",Table1[[#This Row],[New Engine Horsepower (HP):]])</f>
        <v/>
      </c>
      <c r="AS51" s="60" t="str">
        <f>IF(Table2[[#This Row],[Counter Number]]="","","NA")</f>
        <v/>
      </c>
      <c r="AT51" s="165" t="str">
        <f>IF(Table2[[#This Row],[Counter Number]]="","",Table1[[#This Row],[New Engine Cylinder Displacement (L):]]&amp;" L")</f>
        <v/>
      </c>
      <c r="AU51" s="114" t="str">
        <f>IF(Table2[[#This Row],[Counter Number]]="","",Table1[[#This Row],[New Engine Number of Cylinders:]])</f>
        <v/>
      </c>
      <c r="AV51" s="60" t="str">
        <f>IF(Table2[[#This Row],[Counter Number]]="","",Table1[[#This Row],[New Engine Family Name:]])</f>
        <v/>
      </c>
      <c r="AW5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1" s="60" t="str">
        <f>IF(Table2[[#This Row],[Counter Number]]="","","NA")</f>
        <v/>
      </c>
      <c r="AY51" s="172" t="str">
        <f>IF(Table2[[#This Row],[Counter Number]]="","",IF(Table2[[#This Row],[New Engine Fuel Type:]]="ULSD",Table1[[#This Row],[Annual Miles Traveled]]/Table1[[#This Row],[New Fuel (mpg) if Diesel]],""))</f>
        <v/>
      </c>
      <c r="AZ51" s="60"/>
      <c r="BA51" s="173" t="str">
        <f>IF(Table2[[#This Row],[Counter Number]]="","",Table2[[#This Row],[Annual Miles Traveled:]]*VLOOKUP(Table2[[#This Row],[Engine Model Year:]],EFTable[],3,FALSE))</f>
        <v/>
      </c>
      <c r="BB51" s="173" t="str">
        <f>IF(Table2[[#This Row],[Counter Number]]="","",Table2[[#This Row],[Annual Miles Traveled:]]*IF(Table2[[#This Row],[New Engine Fuel Type:]]="ULSD",VLOOKUP(Table2[[#This Row],[New Engine Model Year:]],EFTable[],3,FALSE),VLOOKUP(Table2[[#This Row],[New Engine Fuel Type:]],EFTable[],3,FALSE)))</f>
        <v/>
      </c>
      <c r="BC51" s="187" t="str">
        <f>IF(Table2[[#This Row],[Counter Number]]="","",Table2[[#This Row],[Old Bus NOx Emissions (tons/yr)]]-Table2[[#This Row],[New Bus NOx Emissions (tons/yr)]])</f>
        <v/>
      </c>
      <c r="BD51" s="188" t="str">
        <f>IF(Table2[[#This Row],[Counter Number]]="","",Table2[[#This Row],[Reduction Bus NOx Emissions (tons/yr)]]/Table2[[#This Row],[Old Bus NOx Emissions (tons/yr)]])</f>
        <v/>
      </c>
      <c r="BE51" s="175" t="str">
        <f>IF(Table2[[#This Row],[Counter Number]]="","",Table2[[#This Row],[Reduction Bus NOx Emissions (tons/yr)]]*Table2[[#This Row],[Remaining Life:]])</f>
        <v/>
      </c>
      <c r="BF51" s="189" t="str">
        <f>IF(Table2[[#This Row],[Counter Number]]="","",IF(Table2[[#This Row],[Lifetime NOx Reduction (tons)]]=0,"NA",Table2[[#This Row],[Upgrade Cost Per Unit]]/Table2[[#This Row],[Lifetime NOx Reduction (tons)]]))</f>
        <v/>
      </c>
      <c r="BG51" s="190" t="str">
        <f>IF(Table2[[#This Row],[Counter Number]]="","",Table2[[#This Row],[Annual Miles Traveled:]]*VLOOKUP(Table2[[#This Row],[Engine Model Year:]],EF!$A$2:$G$27,4,FALSE))</f>
        <v/>
      </c>
      <c r="BH51" s="173" t="str">
        <f>IF(Table2[[#This Row],[Counter Number]]="","",Table2[[#This Row],[Annual Miles Traveled:]]*IF(Table2[[#This Row],[New Engine Fuel Type:]]="ULSD",VLOOKUP(Table2[[#This Row],[New Engine Model Year:]],EFTable[],4,FALSE),VLOOKUP(Table2[[#This Row],[New Engine Fuel Type:]],EFTable[],4,FALSE)))</f>
        <v/>
      </c>
      <c r="BI51" s="191" t="str">
        <f>IF(Table2[[#This Row],[Counter Number]]="","",Table2[[#This Row],[Old Bus PM2.5 Emissions (tons/yr)]]-Table2[[#This Row],[New Bus PM2.5 Emissions (tons/yr)]])</f>
        <v/>
      </c>
      <c r="BJ51" s="192" t="str">
        <f>IF(Table2[[#This Row],[Counter Number]]="","",Table2[[#This Row],[Reduction Bus PM2.5 Emissions (tons/yr)]]/Table2[[#This Row],[Old Bus PM2.5 Emissions (tons/yr)]])</f>
        <v/>
      </c>
      <c r="BK51" s="193" t="str">
        <f>IF(Table2[[#This Row],[Counter Number]]="","",Table2[[#This Row],[Reduction Bus PM2.5 Emissions (tons/yr)]]*Table2[[#This Row],[Remaining Life:]])</f>
        <v/>
      </c>
      <c r="BL51" s="194" t="str">
        <f>IF(Table2[[#This Row],[Counter Number]]="","",IF(Table2[[#This Row],[Lifetime PM2.5 Reduction (tons)]]=0,"NA",Table2[[#This Row],[Upgrade Cost Per Unit]]/Table2[[#This Row],[Lifetime PM2.5 Reduction (tons)]]))</f>
        <v/>
      </c>
      <c r="BM51" s="179" t="str">
        <f>IF(Table2[[#This Row],[Counter Number]]="","",Table2[[#This Row],[Annual Miles Traveled:]]*VLOOKUP(Table2[[#This Row],[Engine Model Year:]],EF!$A$2:$G$40,5,FALSE))</f>
        <v/>
      </c>
      <c r="BN51" s="173" t="str">
        <f>IF(Table2[[#This Row],[Counter Number]]="","",Table2[[#This Row],[Annual Miles Traveled:]]*IF(Table2[[#This Row],[New Engine Fuel Type:]]="ULSD",VLOOKUP(Table2[[#This Row],[New Engine Model Year:]],EFTable[],5,FALSE),VLOOKUP(Table2[[#This Row],[New Engine Fuel Type:]],EFTable[],5,FALSE)))</f>
        <v/>
      </c>
      <c r="BO51" s="190" t="str">
        <f>IF(Table2[[#This Row],[Counter Number]]="","",Table2[[#This Row],[Old Bus HC Emissions (tons/yr)]]-Table2[[#This Row],[New Bus HC Emissions (tons/yr)]])</f>
        <v/>
      </c>
      <c r="BP51" s="188" t="str">
        <f>IF(Table2[[#This Row],[Counter Number]]="","",Table2[[#This Row],[Reduction Bus HC Emissions (tons/yr)]]/Table2[[#This Row],[Old Bus HC Emissions (tons/yr)]])</f>
        <v/>
      </c>
      <c r="BQ51" s="193" t="str">
        <f>IF(Table2[[#This Row],[Counter Number]]="","",Table2[[#This Row],[Reduction Bus HC Emissions (tons/yr)]]*Table2[[#This Row],[Remaining Life:]])</f>
        <v/>
      </c>
      <c r="BR51" s="194" t="str">
        <f>IF(Table2[[#This Row],[Counter Number]]="","",IF(Table2[[#This Row],[Lifetime HC Reduction (tons)]]=0,"NA",Table2[[#This Row],[Upgrade Cost Per Unit]]/Table2[[#This Row],[Lifetime HC Reduction (tons)]]))</f>
        <v/>
      </c>
      <c r="BS51" s="191" t="str">
        <f>IF(Table2[[#This Row],[Counter Number]]="","",Table2[[#This Row],[Annual Miles Traveled:]]*VLOOKUP(Table2[[#This Row],[Engine Model Year:]],EF!$A$2:$G$27,6,FALSE))</f>
        <v/>
      </c>
      <c r="BT51" s="173" t="str">
        <f>IF(Table2[[#This Row],[Counter Number]]="","",Table2[[#This Row],[Annual Miles Traveled:]]*IF(Table2[[#This Row],[New Engine Fuel Type:]]="ULSD",VLOOKUP(Table2[[#This Row],[New Engine Model Year:]],EFTable[],6,FALSE),VLOOKUP(Table2[[#This Row],[New Engine Fuel Type:]],EFTable[],6,FALSE)))</f>
        <v/>
      </c>
      <c r="BU51" s="190" t="str">
        <f>IF(Table2[[#This Row],[Counter Number]]="","",Table2[[#This Row],[Old Bus CO Emissions (tons/yr)]]-Table2[[#This Row],[New Bus CO Emissions (tons/yr)]])</f>
        <v/>
      </c>
      <c r="BV51" s="188" t="str">
        <f>IF(Table2[[#This Row],[Counter Number]]="","",Table2[[#This Row],[Reduction Bus CO Emissions (tons/yr)]]/Table2[[#This Row],[Old Bus CO Emissions (tons/yr)]])</f>
        <v/>
      </c>
      <c r="BW51" s="193" t="str">
        <f>IF(Table2[[#This Row],[Counter Number]]="","",Table2[[#This Row],[Reduction Bus CO Emissions (tons/yr)]]*Table2[[#This Row],[Remaining Life:]])</f>
        <v/>
      </c>
      <c r="BX51" s="194" t="str">
        <f>IF(Table2[[#This Row],[Counter Number]]="","",IF(Table2[[#This Row],[Lifetime CO Reduction (tons)]]=0,"NA",Table2[[#This Row],[Upgrade Cost Per Unit]]/Table2[[#This Row],[Lifetime CO Reduction (tons)]]))</f>
        <v/>
      </c>
      <c r="BY51" s="180" t="str">
        <f>IF(Table2[[#This Row],[Counter Number]]="","",Table2[[#This Row],[Old ULSD Used (gal):]]*VLOOKUP(Table2[[#This Row],[Engine Model Year:]],EF!$A$2:$G$27,7,FALSE))</f>
        <v/>
      </c>
      <c r="BZ5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1" s="195" t="str">
        <f>IF(Table2[[#This Row],[Counter Number]]="","",Table2[[#This Row],[Old Bus CO2 Emissions (tons/yr)]]-Table2[[#This Row],[New Bus CO2 Emissions (tons/yr)]])</f>
        <v/>
      </c>
      <c r="CB51" s="188" t="str">
        <f>IF(Table2[[#This Row],[Counter Number]]="","",Table2[[#This Row],[Reduction Bus CO2 Emissions (tons/yr)]]/Table2[[#This Row],[Old Bus CO2 Emissions (tons/yr)]])</f>
        <v/>
      </c>
      <c r="CC51" s="195" t="str">
        <f>IF(Table2[[#This Row],[Counter Number]]="","",Table2[[#This Row],[Reduction Bus CO2 Emissions (tons/yr)]]*Table2[[#This Row],[Remaining Life:]])</f>
        <v/>
      </c>
      <c r="CD51" s="194" t="str">
        <f>IF(Table2[[#This Row],[Counter Number]]="","",IF(Table2[[#This Row],[Lifetime CO2 Reduction (tons)]]=0,"NA",Table2[[#This Row],[Upgrade Cost Per Unit]]/Table2[[#This Row],[Lifetime CO2 Reduction (tons)]]))</f>
        <v/>
      </c>
      <c r="CE51" s="182" t="str">
        <f>IF(Table2[[#This Row],[Counter Number]]="","",IF(Table2[[#This Row],[New ULSD Used (gal):]]="",Table2[[#This Row],[Old ULSD Used (gal):]],Table2[[#This Row],[Old ULSD Used (gal):]]-Table2[[#This Row],[New ULSD Used (gal):]]))</f>
        <v/>
      </c>
      <c r="CF51" s="196" t="str">
        <f>IF(Table2[[#This Row],[Counter Number]]="","",Table2[[#This Row],[Diesel Fuel Reduction (gal/yr)]]/Table2[[#This Row],[Old ULSD Used (gal):]])</f>
        <v/>
      </c>
      <c r="CG51" s="197" t="str">
        <f>IF(Table2[[#This Row],[Counter Number]]="","",Table2[[#This Row],[Diesel Fuel Reduction (gal/yr)]]*Table2[[#This Row],[Remaining Life:]])</f>
        <v/>
      </c>
    </row>
    <row r="52" spans="1:85">
      <c r="A52" s="184" t="str">
        <f>IF(A51&lt;Application!$D$24,A51+1,"")</f>
        <v/>
      </c>
      <c r="B52" s="60" t="str">
        <f>IF(Table2[[#This Row],[Counter Number]]="","",Application!$D$16)</f>
        <v/>
      </c>
      <c r="C52" s="60" t="str">
        <f>IF(Table2[[#This Row],[Counter Number]]="","",Application!$D$14)</f>
        <v/>
      </c>
      <c r="D52" s="60" t="str">
        <f>IF(Table2[[#This Row],[Counter Number]]="","",Table1[[#This Row],[Old Bus Number]])</f>
        <v/>
      </c>
      <c r="E52" s="60" t="str">
        <f>IF(Table2[[#This Row],[Counter Number]]="","",Application!$D$15)</f>
        <v/>
      </c>
      <c r="F52" s="60" t="str">
        <f>IF(Table2[[#This Row],[Counter Number]]="","","On Highway")</f>
        <v/>
      </c>
      <c r="G52" s="60" t="str">
        <f>IF(Table2[[#This Row],[Counter Number]]="","",I52)</f>
        <v/>
      </c>
      <c r="H52" s="60" t="str">
        <f>IF(Table2[[#This Row],[Counter Number]]="","","Georgia")</f>
        <v/>
      </c>
      <c r="I52" s="60" t="str">
        <f>IF(Table2[[#This Row],[Counter Number]]="","",Application!$D$16)</f>
        <v/>
      </c>
      <c r="J52" s="60" t="str">
        <f>IF(Table2[[#This Row],[Counter Number]]="","",Application!$D$21)</f>
        <v/>
      </c>
      <c r="K52" s="60" t="str">
        <f>IF(Table2[[#This Row],[Counter Number]]="","",Application!$J$21)</f>
        <v/>
      </c>
      <c r="L52" s="60" t="str">
        <f>IF(Table2[[#This Row],[Counter Number]]="","","School Bus")</f>
        <v/>
      </c>
      <c r="M52" s="60" t="str">
        <f>IF(Table2[[#This Row],[Counter Number]]="","","School Bus")</f>
        <v/>
      </c>
      <c r="N52" s="60" t="str">
        <f>IF(Table2[[#This Row],[Counter Number]]="","",1)</f>
        <v/>
      </c>
      <c r="O52" s="60" t="str">
        <f>IF(Table2[[#This Row],[Counter Number]]="","",Table1[[#This Row],[Vehicle Identification Number(s):]])</f>
        <v/>
      </c>
      <c r="P52" s="60" t="str">
        <f>IF(Table2[[#This Row],[Counter Number]]="","",Table1[[#This Row],[Old Bus Manufacturer:]])</f>
        <v/>
      </c>
      <c r="Q52" s="60" t="str">
        <f>IF(Table2[[#This Row],[Counter Number]]="","",Table1[[#This Row],[Vehicle Model:]])</f>
        <v/>
      </c>
      <c r="R52" s="165" t="str">
        <f>IF(Table2[[#This Row],[Counter Number]]="","",Table1[[#This Row],[Vehicle Model Year:]])</f>
        <v/>
      </c>
      <c r="S52" s="60" t="str">
        <f>IF(Table2[[#This Row],[Counter Number]]="","",Table1[[#This Row],[Engine Serial Number(s):]])</f>
        <v/>
      </c>
      <c r="T52" s="60" t="str">
        <f>IF(Table2[[#This Row],[Counter Number]]="","",Table1[[#This Row],[Engine Make:]])</f>
        <v/>
      </c>
      <c r="U52" s="60" t="str">
        <f>IF(Table2[[#This Row],[Counter Number]]="","",Table1[[#This Row],[Engine Model:]])</f>
        <v/>
      </c>
      <c r="V52" s="165" t="str">
        <f>IF(Table2[[#This Row],[Counter Number]]="","",Table1[[#This Row],[Engine Model Year:]])</f>
        <v/>
      </c>
      <c r="W52" s="60" t="str">
        <f>IF(Table2[[#This Row],[Counter Number]]="","","NA")</f>
        <v/>
      </c>
      <c r="X52" s="165" t="str">
        <f>IF(Table2[[#This Row],[Counter Number]]="","",Table1[[#This Row],[Engine Horsepower (HP):]])</f>
        <v/>
      </c>
      <c r="Y52" s="165" t="str">
        <f>IF(Table2[[#This Row],[Counter Number]]="","",Table1[[#This Row],[Engine Cylinder Displacement (L):]]&amp;" L")</f>
        <v/>
      </c>
      <c r="Z52" s="165" t="str">
        <f>IF(Table2[[#This Row],[Counter Number]]="","",Table1[[#This Row],[Engine Number of Cylinders:]])</f>
        <v/>
      </c>
      <c r="AA52" s="166" t="str">
        <f>IF(Table2[[#This Row],[Counter Number]]="","",Table1[[#This Row],[Engine Family Name:]])</f>
        <v/>
      </c>
      <c r="AB52" s="60" t="str">
        <f>IF(Table2[[#This Row],[Counter Number]]="","","ULSD")</f>
        <v/>
      </c>
      <c r="AC52" s="167" t="str">
        <f>IF(Table2[[#This Row],[Counter Number]]="","",Table2[[#This Row],[Annual Miles Traveled:]]/Table1[[#This Row],[Old Fuel (mpg)]])</f>
        <v/>
      </c>
      <c r="AD52" s="60" t="str">
        <f>IF(Table2[[#This Row],[Counter Number]]="","","NA")</f>
        <v/>
      </c>
      <c r="AE52" s="168" t="str">
        <f>IF(Table2[[#This Row],[Counter Number]]="","",Table1[[#This Row],[Annual Miles Traveled]])</f>
        <v/>
      </c>
      <c r="AF52" s="169" t="str">
        <f>IF(Table2[[#This Row],[Counter Number]]="","",Table1[[#This Row],[Annual Idling Hours:]])</f>
        <v/>
      </c>
      <c r="AG52" s="60" t="str">
        <f>IF(Table2[[#This Row],[Counter Number]]="","","NA")</f>
        <v/>
      </c>
      <c r="AH52" s="165" t="str">
        <f>IF(Table2[[#This Row],[Counter Number]]="","",IF(Application!$J$25="Set Policy",Table1[[#This Row],[Remaining Life (years)         Set Policy]],Table1[[#This Row],[Remaining Life (years)               Case-by-Case]]))</f>
        <v/>
      </c>
      <c r="AI52" s="165" t="str">
        <f>IF(Table2[[#This Row],[Counter Number]]="","",IF(Application!$J$25="Case-by-Case","NA",Table2[[#This Row],[Fiscal Year of EPA Funds Used:]]+Table2[[#This Row],[Remaining Life:]]))</f>
        <v/>
      </c>
      <c r="AJ52" s="165"/>
      <c r="AK52" s="170" t="str">
        <f>IF(Table2[[#This Row],[Counter Number]]="","",Application!$D$14+1)</f>
        <v/>
      </c>
      <c r="AL52" s="60" t="str">
        <f>IF(Table2[[#This Row],[Counter Number]]="","","Vehicle Replacement")</f>
        <v/>
      </c>
      <c r="AM5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2" s="171" t="str">
        <f>IF(Table2[[#This Row],[Counter Number]]="","",Table1[[#This Row],[Cost of New Bus:]])</f>
        <v/>
      </c>
      <c r="AO52" s="60" t="str">
        <f>IF(Table2[[#This Row],[Counter Number]]="","","NA")</f>
        <v/>
      </c>
      <c r="AP52" s="165" t="str">
        <f>IF(Table2[[#This Row],[Counter Number]]="","",Table1[[#This Row],[New Engine Model Year:]])</f>
        <v/>
      </c>
      <c r="AQ52" s="60" t="str">
        <f>IF(Table2[[#This Row],[Counter Number]]="","","NA")</f>
        <v/>
      </c>
      <c r="AR52" s="165" t="str">
        <f>IF(Table2[[#This Row],[Counter Number]]="","",Table1[[#This Row],[New Engine Horsepower (HP):]])</f>
        <v/>
      </c>
      <c r="AS52" s="60" t="str">
        <f>IF(Table2[[#This Row],[Counter Number]]="","","NA")</f>
        <v/>
      </c>
      <c r="AT52" s="165" t="str">
        <f>IF(Table2[[#This Row],[Counter Number]]="","",Table1[[#This Row],[New Engine Cylinder Displacement (L):]]&amp;" L")</f>
        <v/>
      </c>
      <c r="AU52" s="114" t="str">
        <f>IF(Table2[[#This Row],[Counter Number]]="","",Table1[[#This Row],[New Engine Number of Cylinders:]])</f>
        <v/>
      </c>
      <c r="AV52" s="60" t="str">
        <f>IF(Table2[[#This Row],[Counter Number]]="","",Table1[[#This Row],[New Engine Family Name:]])</f>
        <v/>
      </c>
      <c r="AW5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2" s="60" t="str">
        <f>IF(Table2[[#This Row],[Counter Number]]="","","NA")</f>
        <v/>
      </c>
      <c r="AY52" s="172" t="str">
        <f>IF(Table2[[#This Row],[Counter Number]]="","",IF(Table2[[#This Row],[New Engine Fuel Type:]]="ULSD",Table1[[#This Row],[Annual Miles Traveled]]/Table1[[#This Row],[New Fuel (mpg) if Diesel]],""))</f>
        <v/>
      </c>
      <c r="AZ52" s="60"/>
      <c r="BA52" s="173" t="str">
        <f>IF(Table2[[#This Row],[Counter Number]]="","",Table2[[#This Row],[Annual Miles Traveled:]]*VLOOKUP(Table2[[#This Row],[Engine Model Year:]],EFTable[],3,FALSE))</f>
        <v/>
      </c>
      <c r="BB52" s="173" t="str">
        <f>IF(Table2[[#This Row],[Counter Number]]="","",Table2[[#This Row],[Annual Miles Traveled:]]*IF(Table2[[#This Row],[New Engine Fuel Type:]]="ULSD",VLOOKUP(Table2[[#This Row],[New Engine Model Year:]],EFTable[],3,FALSE),VLOOKUP(Table2[[#This Row],[New Engine Fuel Type:]],EFTable[],3,FALSE)))</f>
        <v/>
      </c>
      <c r="BC52" s="187" t="str">
        <f>IF(Table2[[#This Row],[Counter Number]]="","",Table2[[#This Row],[Old Bus NOx Emissions (tons/yr)]]-Table2[[#This Row],[New Bus NOx Emissions (tons/yr)]])</f>
        <v/>
      </c>
      <c r="BD52" s="188" t="str">
        <f>IF(Table2[[#This Row],[Counter Number]]="","",Table2[[#This Row],[Reduction Bus NOx Emissions (tons/yr)]]/Table2[[#This Row],[Old Bus NOx Emissions (tons/yr)]])</f>
        <v/>
      </c>
      <c r="BE52" s="175" t="str">
        <f>IF(Table2[[#This Row],[Counter Number]]="","",Table2[[#This Row],[Reduction Bus NOx Emissions (tons/yr)]]*Table2[[#This Row],[Remaining Life:]])</f>
        <v/>
      </c>
      <c r="BF52" s="189" t="str">
        <f>IF(Table2[[#This Row],[Counter Number]]="","",IF(Table2[[#This Row],[Lifetime NOx Reduction (tons)]]=0,"NA",Table2[[#This Row],[Upgrade Cost Per Unit]]/Table2[[#This Row],[Lifetime NOx Reduction (tons)]]))</f>
        <v/>
      </c>
      <c r="BG52" s="190" t="str">
        <f>IF(Table2[[#This Row],[Counter Number]]="","",Table2[[#This Row],[Annual Miles Traveled:]]*VLOOKUP(Table2[[#This Row],[Engine Model Year:]],EF!$A$2:$G$27,4,FALSE))</f>
        <v/>
      </c>
      <c r="BH52" s="173" t="str">
        <f>IF(Table2[[#This Row],[Counter Number]]="","",Table2[[#This Row],[Annual Miles Traveled:]]*IF(Table2[[#This Row],[New Engine Fuel Type:]]="ULSD",VLOOKUP(Table2[[#This Row],[New Engine Model Year:]],EFTable[],4,FALSE),VLOOKUP(Table2[[#This Row],[New Engine Fuel Type:]],EFTable[],4,FALSE)))</f>
        <v/>
      </c>
      <c r="BI52" s="191" t="str">
        <f>IF(Table2[[#This Row],[Counter Number]]="","",Table2[[#This Row],[Old Bus PM2.5 Emissions (tons/yr)]]-Table2[[#This Row],[New Bus PM2.5 Emissions (tons/yr)]])</f>
        <v/>
      </c>
      <c r="BJ52" s="192" t="str">
        <f>IF(Table2[[#This Row],[Counter Number]]="","",Table2[[#This Row],[Reduction Bus PM2.5 Emissions (tons/yr)]]/Table2[[#This Row],[Old Bus PM2.5 Emissions (tons/yr)]])</f>
        <v/>
      </c>
      <c r="BK52" s="193" t="str">
        <f>IF(Table2[[#This Row],[Counter Number]]="","",Table2[[#This Row],[Reduction Bus PM2.5 Emissions (tons/yr)]]*Table2[[#This Row],[Remaining Life:]])</f>
        <v/>
      </c>
      <c r="BL52" s="194" t="str">
        <f>IF(Table2[[#This Row],[Counter Number]]="","",IF(Table2[[#This Row],[Lifetime PM2.5 Reduction (tons)]]=0,"NA",Table2[[#This Row],[Upgrade Cost Per Unit]]/Table2[[#This Row],[Lifetime PM2.5 Reduction (tons)]]))</f>
        <v/>
      </c>
      <c r="BM52" s="179" t="str">
        <f>IF(Table2[[#This Row],[Counter Number]]="","",Table2[[#This Row],[Annual Miles Traveled:]]*VLOOKUP(Table2[[#This Row],[Engine Model Year:]],EF!$A$2:$G$40,5,FALSE))</f>
        <v/>
      </c>
      <c r="BN52" s="173" t="str">
        <f>IF(Table2[[#This Row],[Counter Number]]="","",Table2[[#This Row],[Annual Miles Traveled:]]*IF(Table2[[#This Row],[New Engine Fuel Type:]]="ULSD",VLOOKUP(Table2[[#This Row],[New Engine Model Year:]],EFTable[],5,FALSE),VLOOKUP(Table2[[#This Row],[New Engine Fuel Type:]],EFTable[],5,FALSE)))</f>
        <v/>
      </c>
      <c r="BO52" s="190" t="str">
        <f>IF(Table2[[#This Row],[Counter Number]]="","",Table2[[#This Row],[Old Bus HC Emissions (tons/yr)]]-Table2[[#This Row],[New Bus HC Emissions (tons/yr)]])</f>
        <v/>
      </c>
      <c r="BP52" s="188" t="str">
        <f>IF(Table2[[#This Row],[Counter Number]]="","",Table2[[#This Row],[Reduction Bus HC Emissions (tons/yr)]]/Table2[[#This Row],[Old Bus HC Emissions (tons/yr)]])</f>
        <v/>
      </c>
      <c r="BQ52" s="193" t="str">
        <f>IF(Table2[[#This Row],[Counter Number]]="","",Table2[[#This Row],[Reduction Bus HC Emissions (tons/yr)]]*Table2[[#This Row],[Remaining Life:]])</f>
        <v/>
      </c>
      <c r="BR52" s="194" t="str">
        <f>IF(Table2[[#This Row],[Counter Number]]="","",IF(Table2[[#This Row],[Lifetime HC Reduction (tons)]]=0,"NA",Table2[[#This Row],[Upgrade Cost Per Unit]]/Table2[[#This Row],[Lifetime HC Reduction (tons)]]))</f>
        <v/>
      </c>
      <c r="BS52" s="191" t="str">
        <f>IF(Table2[[#This Row],[Counter Number]]="","",Table2[[#This Row],[Annual Miles Traveled:]]*VLOOKUP(Table2[[#This Row],[Engine Model Year:]],EF!$A$2:$G$27,6,FALSE))</f>
        <v/>
      </c>
      <c r="BT52" s="173" t="str">
        <f>IF(Table2[[#This Row],[Counter Number]]="","",Table2[[#This Row],[Annual Miles Traveled:]]*IF(Table2[[#This Row],[New Engine Fuel Type:]]="ULSD",VLOOKUP(Table2[[#This Row],[New Engine Model Year:]],EFTable[],6,FALSE),VLOOKUP(Table2[[#This Row],[New Engine Fuel Type:]],EFTable[],6,FALSE)))</f>
        <v/>
      </c>
      <c r="BU52" s="190" t="str">
        <f>IF(Table2[[#This Row],[Counter Number]]="","",Table2[[#This Row],[Old Bus CO Emissions (tons/yr)]]-Table2[[#This Row],[New Bus CO Emissions (tons/yr)]])</f>
        <v/>
      </c>
      <c r="BV52" s="188" t="str">
        <f>IF(Table2[[#This Row],[Counter Number]]="","",Table2[[#This Row],[Reduction Bus CO Emissions (tons/yr)]]/Table2[[#This Row],[Old Bus CO Emissions (tons/yr)]])</f>
        <v/>
      </c>
      <c r="BW52" s="193" t="str">
        <f>IF(Table2[[#This Row],[Counter Number]]="","",Table2[[#This Row],[Reduction Bus CO Emissions (tons/yr)]]*Table2[[#This Row],[Remaining Life:]])</f>
        <v/>
      </c>
      <c r="BX52" s="194" t="str">
        <f>IF(Table2[[#This Row],[Counter Number]]="","",IF(Table2[[#This Row],[Lifetime CO Reduction (tons)]]=0,"NA",Table2[[#This Row],[Upgrade Cost Per Unit]]/Table2[[#This Row],[Lifetime CO Reduction (tons)]]))</f>
        <v/>
      </c>
      <c r="BY52" s="180" t="str">
        <f>IF(Table2[[#This Row],[Counter Number]]="","",Table2[[#This Row],[Old ULSD Used (gal):]]*VLOOKUP(Table2[[#This Row],[Engine Model Year:]],EF!$A$2:$G$27,7,FALSE))</f>
        <v/>
      </c>
      <c r="BZ5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2" s="195" t="str">
        <f>IF(Table2[[#This Row],[Counter Number]]="","",Table2[[#This Row],[Old Bus CO2 Emissions (tons/yr)]]-Table2[[#This Row],[New Bus CO2 Emissions (tons/yr)]])</f>
        <v/>
      </c>
      <c r="CB52" s="188" t="str">
        <f>IF(Table2[[#This Row],[Counter Number]]="","",Table2[[#This Row],[Reduction Bus CO2 Emissions (tons/yr)]]/Table2[[#This Row],[Old Bus CO2 Emissions (tons/yr)]])</f>
        <v/>
      </c>
      <c r="CC52" s="195" t="str">
        <f>IF(Table2[[#This Row],[Counter Number]]="","",Table2[[#This Row],[Reduction Bus CO2 Emissions (tons/yr)]]*Table2[[#This Row],[Remaining Life:]])</f>
        <v/>
      </c>
      <c r="CD52" s="194" t="str">
        <f>IF(Table2[[#This Row],[Counter Number]]="","",IF(Table2[[#This Row],[Lifetime CO2 Reduction (tons)]]=0,"NA",Table2[[#This Row],[Upgrade Cost Per Unit]]/Table2[[#This Row],[Lifetime CO2 Reduction (tons)]]))</f>
        <v/>
      </c>
      <c r="CE52" s="182" t="str">
        <f>IF(Table2[[#This Row],[Counter Number]]="","",IF(Table2[[#This Row],[New ULSD Used (gal):]]="",Table2[[#This Row],[Old ULSD Used (gal):]],Table2[[#This Row],[Old ULSD Used (gal):]]-Table2[[#This Row],[New ULSD Used (gal):]]))</f>
        <v/>
      </c>
      <c r="CF52" s="196" t="str">
        <f>IF(Table2[[#This Row],[Counter Number]]="","",Table2[[#This Row],[Diesel Fuel Reduction (gal/yr)]]/Table2[[#This Row],[Old ULSD Used (gal):]])</f>
        <v/>
      </c>
      <c r="CG52" s="197" t="str">
        <f>IF(Table2[[#This Row],[Counter Number]]="","",Table2[[#This Row],[Diesel Fuel Reduction (gal/yr)]]*Table2[[#This Row],[Remaining Life:]])</f>
        <v/>
      </c>
    </row>
    <row r="53" spans="1:85">
      <c r="A53" s="184" t="str">
        <f>IF(A52&lt;Application!$D$24,A52+1,"")</f>
        <v/>
      </c>
      <c r="B53" s="60" t="str">
        <f>IF(Table2[[#This Row],[Counter Number]]="","",Application!$D$16)</f>
        <v/>
      </c>
      <c r="C53" s="60" t="str">
        <f>IF(Table2[[#This Row],[Counter Number]]="","",Application!$D$14)</f>
        <v/>
      </c>
      <c r="D53" s="60" t="str">
        <f>IF(Table2[[#This Row],[Counter Number]]="","",Table1[[#This Row],[Old Bus Number]])</f>
        <v/>
      </c>
      <c r="E53" s="60" t="str">
        <f>IF(Table2[[#This Row],[Counter Number]]="","",Application!$D$15)</f>
        <v/>
      </c>
      <c r="F53" s="60" t="str">
        <f>IF(Table2[[#This Row],[Counter Number]]="","","On Highway")</f>
        <v/>
      </c>
      <c r="G53" s="60" t="str">
        <f>IF(Table2[[#This Row],[Counter Number]]="","",I53)</f>
        <v/>
      </c>
      <c r="H53" s="60" t="str">
        <f>IF(Table2[[#This Row],[Counter Number]]="","","Georgia")</f>
        <v/>
      </c>
      <c r="I53" s="60" t="str">
        <f>IF(Table2[[#This Row],[Counter Number]]="","",Application!$D$16)</f>
        <v/>
      </c>
      <c r="J53" s="60" t="str">
        <f>IF(Table2[[#This Row],[Counter Number]]="","",Application!$D$21)</f>
        <v/>
      </c>
      <c r="K53" s="60" t="str">
        <f>IF(Table2[[#This Row],[Counter Number]]="","",Application!$J$21)</f>
        <v/>
      </c>
      <c r="L53" s="60" t="str">
        <f>IF(Table2[[#This Row],[Counter Number]]="","","School Bus")</f>
        <v/>
      </c>
      <c r="M53" s="60" t="str">
        <f>IF(Table2[[#This Row],[Counter Number]]="","","School Bus")</f>
        <v/>
      </c>
      <c r="N53" s="60" t="str">
        <f>IF(Table2[[#This Row],[Counter Number]]="","",1)</f>
        <v/>
      </c>
      <c r="O53" s="60" t="str">
        <f>IF(Table2[[#This Row],[Counter Number]]="","",Table1[[#This Row],[Vehicle Identification Number(s):]])</f>
        <v/>
      </c>
      <c r="P53" s="60" t="str">
        <f>IF(Table2[[#This Row],[Counter Number]]="","",Table1[[#This Row],[Old Bus Manufacturer:]])</f>
        <v/>
      </c>
      <c r="Q53" s="60" t="str">
        <f>IF(Table2[[#This Row],[Counter Number]]="","",Table1[[#This Row],[Vehicle Model:]])</f>
        <v/>
      </c>
      <c r="R53" s="165" t="str">
        <f>IF(Table2[[#This Row],[Counter Number]]="","",Table1[[#This Row],[Vehicle Model Year:]])</f>
        <v/>
      </c>
      <c r="S53" s="60" t="str">
        <f>IF(Table2[[#This Row],[Counter Number]]="","",Table1[[#This Row],[Engine Serial Number(s):]])</f>
        <v/>
      </c>
      <c r="T53" s="60" t="str">
        <f>IF(Table2[[#This Row],[Counter Number]]="","",Table1[[#This Row],[Engine Make:]])</f>
        <v/>
      </c>
      <c r="U53" s="60" t="str">
        <f>IF(Table2[[#This Row],[Counter Number]]="","",Table1[[#This Row],[Engine Model:]])</f>
        <v/>
      </c>
      <c r="V53" s="165" t="str">
        <f>IF(Table2[[#This Row],[Counter Number]]="","",Table1[[#This Row],[Engine Model Year:]])</f>
        <v/>
      </c>
      <c r="W53" s="60" t="str">
        <f>IF(Table2[[#This Row],[Counter Number]]="","","NA")</f>
        <v/>
      </c>
      <c r="X53" s="165" t="str">
        <f>IF(Table2[[#This Row],[Counter Number]]="","",Table1[[#This Row],[Engine Horsepower (HP):]])</f>
        <v/>
      </c>
      <c r="Y53" s="165" t="str">
        <f>IF(Table2[[#This Row],[Counter Number]]="","",Table1[[#This Row],[Engine Cylinder Displacement (L):]]&amp;" L")</f>
        <v/>
      </c>
      <c r="Z53" s="165" t="str">
        <f>IF(Table2[[#This Row],[Counter Number]]="","",Table1[[#This Row],[Engine Number of Cylinders:]])</f>
        <v/>
      </c>
      <c r="AA53" s="166" t="str">
        <f>IF(Table2[[#This Row],[Counter Number]]="","",Table1[[#This Row],[Engine Family Name:]])</f>
        <v/>
      </c>
      <c r="AB53" s="60" t="str">
        <f>IF(Table2[[#This Row],[Counter Number]]="","","ULSD")</f>
        <v/>
      </c>
      <c r="AC53" s="167" t="str">
        <f>IF(Table2[[#This Row],[Counter Number]]="","",Table2[[#This Row],[Annual Miles Traveled:]]/Table1[[#This Row],[Old Fuel (mpg)]])</f>
        <v/>
      </c>
      <c r="AD53" s="60" t="str">
        <f>IF(Table2[[#This Row],[Counter Number]]="","","NA")</f>
        <v/>
      </c>
      <c r="AE53" s="168" t="str">
        <f>IF(Table2[[#This Row],[Counter Number]]="","",Table1[[#This Row],[Annual Miles Traveled]])</f>
        <v/>
      </c>
      <c r="AF53" s="169" t="str">
        <f>IF(Table2[[#This Row],[Counter Number]]="","",Table1[[#This Row],[Annual Idling Hours:]])</f>
        <v/>
      </c>
      <c r="AG53" s="60" t="str">
        <f>IF(Table2[[#This Row],[Counter Number]]="","","NA")</f>
        <v/>
      </c>
      <c r="AH53" s="165" t="str">
        <f>IF(Table2[[#This Row],[Counter Number]]="","",IF(Application!$J$25="Set Policy",Table1[[#This Row],[Remaining Life (years)         Set Policy]],Table1[[#This Row],[Remaining Life (years)               Case-by-Case]]))</f>
        <v/>
      </c>
      <c r="AI53" s="165" t="str">
        <f>IF(Table2[[#This Row],[Counter Number]]="","",IF(Application!$J$25="Case-by-Case","NA",Table2[[#This Row],[Fiscal Year of EPA Funds Used:]]+Table2[[#This Row],[Remaining Life:]]))</f>
        <v/>
      </c>
      <c r="AJ53" s="165"/>
      <c r="AK53" s="170" t="str">
        <f>IF(Table2[[#This Row],[Counter Number]]="","",Application!$D$14+1)</f>
        <v/>
      </c>
      <c r="AL53" s="60" t="str">
        <f>IF(Table2[[#This Row],[Counter Number]]="","","Vehicle Replacement")</f>
        <v/>
      </c>
      <c r="AM5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3" s="171" t="str">
        <f>IF(Table2[[#This Row],[Counter Number]]="","",Table1[[#This Row],[Cost of New Bus:]])</f>
        <v/>
      </c>
      <c r="AO53" s="60" t="str">
        <f>IF(Table2[[#This Row],[Counter Number]]="","","NA")</f>
        <v/>
      </c>
      <c r="AP53" s="165" t="str">
        <f>IF(Table2[[#This Row],[Counter Number]]="","",Table1[[#This Row],[New Engine Model Year:]])</f>
        <v/>
      </c>
      <c r="AQ53" s="60" t="str">
        <f>IF(Table2[[#This Row],[Counter Number]]="","","NA")</f>
        <v/>
      </c>
      <c r="AR53" s="165" t="str">
        <f>IF(Table2[[#This Row],[Counter Number]]="","",Table1[[#This Row],[New Engine Horsepower (HP):]])</f>
        <v/>
      </c>
      <c r="AS53" s="60" t="str">
        <f>IF(Table2[[#This Row],[Counter Number]]="","","NA")</f>
        <v/>
      </c>
      <c r="AT53" s="165" t="str">
        <f>IF(Table2[[#This Row],[Counter Number]]="","",Table1[[#This Row],[New Engine Cylinder Displacement (L):]]&amp;" L")</f>
        <v/>
      </c>
      <c r="AU53" s="114" t="str">
        <f>IF(Table2[[#This Row],[Counter Number]]="","",Table1[[#This Row],[New Engine Number of Cylinders:]])</f>
        <v/>
      </c>
      <c r="AV53" s="60" t="str">
        <f>IF(Table2[[#This Row],[Counter Number]]="","",Table1[[#This Row],[New Engine Family Name:]])</f>
        <v/>
      </c>
      <c r="AW5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3" s="60" t="str">
        <f>IF(Table2[[#This Row],[Counter Number]]="","","NA")</f>
        <v/>
      </c>
      <c r="AY53" s="172" t="str">
        <f>IF(Table2[[#This Row],[Counter Number]]="","",IF(Table2[[#This Row],[New Engine Fuel Type:]]="ULSD",Table1[[#This Row],[Annual Miles Traveled]]/Table1[[#This Row],[New Fuel (mpg) if Diesel]],""))</f>
        <v/>
      </c>
      <c r="AZ53" s="60"/>
      <c r="BA53" s="173" t="str">
        <f>IF(Table2[[#This Row],[Counter Number]]="","",Table2[[#This Row],[Annual Miles Traveled:]]*VLOOKUP(Table2[[#This Row],[Engine Model Year:]],EFTable[],3,FALSE))</f>
        <v/>
      </c>
      <c r="BB53" s="173" t="str">
        <f>IF(Table2[[#This Row],[Counter Number]]="","",Table2[[#This Row],[Annual Miles Traveled:]]*IF(Table2[[#This Row],[New Engine Fuel Type:]]="ULSD",VLOOKUP(Table2[[#This Row],[New Engine Model Year:]],EFTable[],3,FALSE),VLOOKUP(Table2[[#This Row],[New Engine Fuel Type:]],EFTable[],3,FALSE)))</f>
        <v/>
      </c>
      <c r="BC53" s="187" t="str">
        <f>IF(Table2[[#This Row],[Counter Number]]="","",Table2[[#This Row],[Old Bus NOx Emissions (tons/yr)]]-Table2[[#This Row],[New Bus NOx Emissions (tons/yr)]])</f>
        <v/>
      </c>
      <c r="BD53" s="188" t="str">
        <f>IF(Table2[[#This Row],[Counter Number]]="","",Table2[[#This Row],[Reduction Bus NOx Emissions (tons/yr)]]/Table2[[#This Row],[Old Bus NOx Emissions (tons/yr)]])</f>
        <v/>
      </c>
      <c r="BE53" s="175" t="str">
        <f>IF(Table2[[#This Row],[Counter Number]]="","",Table2[[#This Row],[Reduction Bus NOx Emissions (tons/yr)]]*Table2[[#This Row],[Remaining Life:]])</f>
        <v/>
      </c>
      <c r="BF53" s="189" t="str">
        <f>IF(Table2[[#This Row],[Counter Number]]="","",IF(Table2[[#This Row],[Lifetime NOx Reduction (tons)]]=0,"NA",Table2[[#This Row],[Upgrade Cost Per Unit]]/Table2[[#This Row],[Lifetime NOx Reduction (tons)]]))</f>
        <v/>
      </c>
      <c r="BG53" s="190" t="str">
        <f>IF(Table2[[#This Row],[Counter Number]]="","",Table2[[#This Row],[Annual Miles Traveled:]]*VLOOKUP(Table2[[#This Row],[Engine Model Year:]],EF!$A$2:$G$27,4,FALSE))</f>
        <v/>
      </c>
      <c r="BH53" s="173" t="str">
        <f>IF(Table2[[#This Row],[Counter Number]]="","",Table2[[#This Row],[Annual Miles Traveled:]]*IF(Table2[[#This Row],[New Engine Fuel Type:]]="ULSD",VLOOKUP(Table2[[#This Row],[New Engine Model Year:]],EFTable[],4,FALSE),VLOOKUP(Table2[[#This Row],[New Engine Fuel Type:]],EFTable[],4,FALSE)))</f>
        <v/>
      </c>
      <c r="BI53" s="191" t="str">
        <f>IF(Table2[[#This Row],[Counter Number]]="","",Table2[[#This Row],[Old Bus PM2.5 Emissions (tons/yr)]]-Table2[[#This Row],[New Bus PM2.5 Emissions (tons/yr)]])</f>
        <v/>
      </c>
      <c r="BJ53" s="192" t="str">
        <f>IF(Table2[[#This Row],[Counter Number]]="","",Table2[[#This Row],[Reduction Bus PM2.5 Emissions (tons/yr)]]/Table2[[#This Row],[Old Bus PM2.5 Emissions (tons/yr)]])</f>
        <v/>
      </c>
      <c r="BK53" s="193" t="str">
        <f>IF(Table2[[#This Row],[Counter Number]]="","",Table2[[#This Row],[Reduction Bus PM2.5 Emissions (tons/yr)]]*Table2[[#This Row],[Remaining Life:]])</f>
        <v/>
      </c>
      <c r="BL53" s="194" t="str">
        <f>IF(Table2[[#This Row],[Counter Number]]="","",IF(Table2[[#This Row],[Lifetime PM2.5 Reduction (tons)]]=0,"NA",Table2[[#This Row],[Upgrade Cost Per Unit]]/Table2[[#This Row],[Lifetime PM2.5 Reduction (tons)]]))</f>
        <v/>
      </c>
      <c r="BM53" s="179" t="str">
        <f>IF(Table2[[#This Row],[Counter Number]]="","",Table2[[#This Row],[Annual Miles Traveled:]]*VLOOKUP(Table2[[#This Row],[Engine Model Year:]],EF!$A$2:$G$40,5,FALSE))</f>
        <v/>
      </c>
      <c r="BN53" s="173" t="str">
        <f>IF(Table2[[#This Row],[Counter Number]]="","",Table2[[#This Row],[Annual Miles Traveled:]]*IF(Table2[[#This Row],[New Engine Fuel Type:]]="ULSD",VLOOKUP(Table2[[#This Row],[New Engine Model Year:]],EFTable[],5,FALSE),VLOOKUP(Table2[[#This Row],[New Engine Fuel Type:]],EFTable[],5,FALSE)))</f>
        <v/>
      </c>
      <c r="BO53" s="190" t="str">
        <f>IF(Table2[[#This Row],[Counter Number]]="","",Table2[[#This Row],[Old Bus HC Emissions (tons/yr)]]-Table2[[#This Row],[New Bus HC Emissions (tons/yr)]])</f>
        <v/>
      </c>
      <c r="BP53" s="188" t="str">
        <f>IF(Table2[[#This Row],[Counter Number]]="","",Table2[[#This Row],[Reduction Bus HC Emissions (tons/yr)]]/Table2[[#This Row],[Old Bus HC Emissions (tons/yr)]])</f>
        <v/>
      </c>
      <c r="BQ53" s="193" t="str">
        <f>IF(Table2[[#This Row],[Counter Number]]="","",Table2[[#This Row],[Reduction Bus HC Emissions (tons/yr)]]*Table2[[#This Row],[Remaining Life:]])</f>
        <v/>
      </c>
      <c r="BR53" s="194" t="str">
        <f>IF(Table2[[#This Row],[Counter Number]]="","",IF(Table2[[#This Row],[Lifetime HC Reduction (tons)]]=0,"NA",Table2[[#This Row],[Upgrade Cost Per Unit]]/Table2[[#This Row],[Lifetime HC Reduction (tons)]]))</f>
        <v/>
      </c>
      <c r="BS53" s="191" t="str">
        <f>IF(Table2[[#This Row],[Counter Number]]="","",Table2[[#This Row],[Annual Miles Traveled:]]*VLOOKUP(Table2[[#This Row],[Engine Model Year:]],EF!$A$2:$G$27,6,FALSE))</f>
        <v/>
      </c>
      <c r="BT53" s="173" t="str">
        <f>IF(Table2[[#This Row],[Counter Number]]="","",Table2[[#This Row],[Annual Miles Traveled:]]*IF(Table2[[#This Row],[New Engine Fuel Type:]]="ULSD",VLOOKUP(Table2[[#This Row],[New Engine Model Year:]],EFTable[],6,FALSE),VLOOKUP(Table2[[#This Row],[New Engine Fuel Type:]],EFTable[],6,FALSE)))</f>
        <v/>
      </c>
      <c r="BU53" s="190" t="str">
        <f>IF(Table2[[#This Row],[Counter Number]]="","",Table2[[#This Row],[Old Bus CO Emissions (tons/yr)]]-Table2[[#This Row],[New Bus CO Emissions (tons/yr)]])</f>
        <v/>
      </c>
      <c r="BV53" s="188" t="str">
        <f>IF(Table2[[#This Row],[Counter Number]]="","",Table2[[#This Row],[Reduction Bus CO Emissions (tons/yr)]]/Table2[[#This Row],[Old Bus CO Emissions (tons/yr)]])</f>
        <v/>
      </c>
      <c r="BW53" s="193" t="str">
        <f>IF(Table2[[#This Row],[Counter Number]]="","",Table2[[#This Row],[Reduction Bus CO Emissions (tons/yr)]]*Table2[[#This Row],[Remaining Life:]])</f>
        <v/>
      </c>
      <c r="BX53" s="194" t="str">
        <f>IF(Table2[[#This Row],[Counter Number]]="","",IF(Table2[[#This Row],[Lifetime CO Reduction (tons)]]=0,"NA",Table2[[#This Row],[Upgrade Cost Per Unit]]/Table2[[#This Row],[Lifetime CO Reduction (tons)]]))</f>
        <v/>
      </c>
      <c r="BY53" s="180" t="str">
        <f>IF(Table2[[#This Row],[Counter Number]]="","",Table2[[#This Row],[Old ULSD Used (gal):]]*VLOOKUP(Table2[[#This Row],[Engine Model Year:]],EF!$A$2:$G$27,7,FALSE))</f>
        <v/>
      </c>
      <c r="BZ5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3" s="195" t="str">
        <f>IF(Table2[[#This Row],[Counter Number]]="","",Table2[[#This Row],[Old Bus CO2 Emissions (tons/yr)]]-Table2[[#This Row],[New Bus CO2 Emissions (tons/yr)]])</f>
        <v/>
      </c>
      <c r="CB53" s="188" t="str">
        <f>IF(Table2[[#This Row],[Counter Number]]="","",Table2[[#This Row],[Reduction Bus CO2 Emissions (tons/yr)]]/Table2[[#This Row],[Old Bus CO2 Emissions (tons/yr)]])</f>
        <v/>
      </c>
      <c r="CC53" s="195" t="str">
        <f>IF(Table2[[#This Row],[Counter Number]]="","",Table2[[#This Row],[Reduction Bus CO2 Emissions (tons/yr)]]*Table2[[#This Row],[Remaining Life:]])</f>
        <v/>
      </c>
      <c r="CD53" s="194" t="str">
        <f>IF(Table2[[#This Row],[Counter Number]]="","",IF(Table2[[#This Row],[Lifetime CO2 Reduction (tons)]]=0,"NA",Table2[[#This Row],[Upgrade Cost Per Unit]]/Table2[[#This Row],[Lifetime CO2 Reduction (tons)]]))</f>
        <v/>
      </c>
      <c r="CE53" s="182" t="str">
        <f>IF(Table2[[#This Row],[Counter Number]]="","",IF(Table2[[#This Row],[New ULSD Used (gal):]]="",Table2[[#This Row],[Old ULSD Used (gal):]],Table2[[#This Row],[Old ULSD Used (gal):]]-Table2[[#This Row],[New ULSD Used (gal):]]))</f>
        <v/>
      </c>
      <c r="CF53" s="196" t="str">
        <f>IF(Table2[[#This Row],[Counter Number]]="","",Table2[[#This Row],[Diesel Fuel Reduction (gal/yr)]]/Table2[[#This Row],[Old ULSD Used (gal):]])</f>
        <v/>
      </c>
      <c r="CG53" s="197" t="str">
        <f>IF(Table2[[#This Row],[Counter Number]]="","",Table2[[#This Row],[Diesel Fuel Reduction (gal/yr)]]*Table2[[#This Row],[Remaining Life:]])</f>
        <v/>
      </c>
    </row>
    <row r="54" spans="1:85">
      <c r="A54" s="184" t="str">
        <f>IF(A53&lt;Application!$D$24,A53+1,"")</f>
        <v/>
      </c>
      <c r="B54" s="60" t="str">
        <f>IF(Table2[[#This Row],[Counter Number]]="","",Application!$D$16)</f>
        <v/>
      </c>
      <c r="C54" s="60" t="str">
        <f>IF(Table2[[#This Row],[Counter Number]]="","",Application!$D$14)</f>
        <v/>
      </c>
      <c r="D54" s="60" t="str">
        <f>IF(Table2[[#This Row],[Counter Number]]="","",Table1[[#This Row],[Old Bus Number]])</f>
        <v/>
      </c>
      <c r="E54" s="60" t="str">
        <f>IF(Table2[[#This Row],[Counter Number]]="","",Application!$D$15)</f>
        <v/>
      </c>
      <c r="F54" s="60" t="str">
        <f>IF(Table2[[#This Row],[Counter Number]]="","","On Highway")</f>
        <v/>
      </c>
      <c r="G54" s="60" t="str">
        <f>IF(Table2[[#This Row],[Counter Number]]="","",I54)</f>
        <v/>
      </c>
      <c r="H54" s="60" t="str">
        <f>IF(Table2[[#This Row],[Counter Number]]="","","Georgia")</f>
        <v/>
      </c>
      <c r="I54" s="60" t="str">
        <f>IF(Table2[[#This Row],[Counter Number]]="","",Application!$D$16)</f>
        <v/>
      </c>
      <c r="J54" s="60" t="str">
        <f>IF(Table2[[#This Row],[Counter Number]]="","",Application!$D$21)</f>
        <v/>
      </c>
      <c r="K54" s="60" t="str">
        <f>IF(Table2[[#This Row],[Counter Number]]="","",Application!$J$21)</f>
        <v/>
      </c>
      <c r="L54" s="60" t="str">
        <f>IF(Table2[[#This Row],[Counter Number]]="","","School Bus")</f>
        <v/>
      </c>
      <c r="M54" s="60" t="str">
        <f>IF(Table2[[#This Row],[Counter Number]]="","","School Bus")</f>
        <v/>
      </c>
      <c r="N54" s="60" t="str">
        <f>IF(Table2[[#This Row],[Counter Number]]="","",1)</f>
        <v/>
      </c>
      <c r="O54" s="60" t="str">
        <f>IF(Table2[[#This Row],[Counter Number]]="","",Table1[[#This Row],[Vehicle Identification Number(s):]])</f>
        <v/>
      </c>
      <c r="P54" s="60" t="str">
        <f>IF(Table2[[#This Row],[Counter Number]]="","",Table1[[#This Row],[Old Bus Manufacturer:]])</f>
        <v/>
      </c>
      <c r="Q54" s="60" t="str">
        <f>IF(Table2[[#This Row],[Counter Number]]="","",Table1[[#This Row],[Vehicle Model:]])</f>
        <v/>
      </c>
      <c r="R54" s="165" t="str">
        <f>IF(Table2[[#This Row],[Counter Number]]="","",Table1[[#This Row],[Vehicle Model Year:]])</f>
        <v/>
      </c>
      <c r="S54" s="60" t="str">
        <f>IF(Table2[[#This Row],[Counter Number]]="","",Table1[[#This Row],[Engine Serial Number(s):]])</f>
        <v/>
      </c>
      <c r="T54" s="60" t="str">
        <f>IF(Table2[[#This Row],[Counter Number]]="","",Table1[[#This Row],[Engine Make:]])</f>
        <v/>
      </c>
      <c r="U54" s="60" t="str">
        <f>IF(Table2[[#This Row],[Counter Number]]="","",Table1[[#This Row],[Engine Model:]])</f>
        <v/>
      </c>
      <c r="V54" s="165" t="str">
        <f>IF(Table2[[#This Row],[Counter Number]]="","",Table1[[#This Row],[Engine Model Year:]])</f>
        <v/>
      </c>
      <c r="W54" s="60" t="str">
        <f>IF(Table2[[#This Row],[Counter Number]]="","","NA")</f>
        <v/>
      </c>
      <c r="X54" s="165" t="str">
        <f>IF(Table2[[#This Row],[Counter Number]]="","",Table1[[#This Row],[Engine Horsepower (HP):]])</f>
        <v/>
      </c>
      <c r="Y54" s="165" t="str">
        <f>IF(Table2[[#This Row],[Counter Number]]="","",Table1[[#This Row],[Engine Cylinder Displacement (L):]]&amp;" L")</f>
        <v/>
      </c>
      <c r="Z54" s="165" t="str">
        <f>IF(Table2[[#This Row],[Counter Number]]="","",Table1[[#This Row],[Engine Number of Cylinders:]])</f>
        <v/>
      </c>
      <c r="AA54" s="166" t="str">
        <f>IF(Table2[[#This Row],[Counter Number]]="","",Table1[[#This Row],[Engine Family Name:]])</f>
        <v/>
      </c>
      <c r="AB54" s="60" t="str">
        <f>IF(Table2[[#This Row],[Counter Number]]="","","ULSD")</f>
        <v/>
      </c>
      <c r="AC54" s="167" t="str">
        <f>IF(Table2[[#This Row],[Counter Number]]="","",Table2[[#This Row],[Annual Miles Traveled:]]/Table1[[#This Row],[Old Fuel (mpg)]])</f>
        <v/>
      </c>
      <c r="AD54" s="60" t="str">
        <f>IF(Table2[[#This Row],[Counter Number]]="","","NA")</f>
        <v/>
      </c>
      <c r="AE54" s="168" t="str">
        <f>IF(Table2[[#This Row],[Counter Number]]="","",Table1[[#This Row],[Annual Miles Traveled]])</f>
        <v/>
      </c>
      <c r="AF54" s="169" t="str">
        <f>IF(Table2[[#This Row],[Counter Number]]="","",Table1[[#This Row],[Annual Idling Hours:]])</f>
        <v/>
      </c>
      <c r="AG54" s="60" t="str">
        <f>IF(Table2[[#This Row],[Counter Number]]="","","NA")</f>
        <v/>
      </c>
      <c r="AH54" s="165" t="str">
        <f>IF(Table2[[#This Row],[Counter Number]]="","",IF(Application!$J$25="Set Policy",Table1[[#This Row],[Remaining Life (years)         Set Policy]],Table1[[#This Row],[Remaining Life (years)               Case-by-Case]]))</f>
        <v/>
      </c>
      <c r="AI54" s="165" t="str">
        <f>IF(Table2[[#This Row],[Counter Number]]="","",IF(Application!$J$25="Case-by-Case","NA",Table2[[#This Row],[Fiscal Year of EPA Funds Used:]]+Table2[[#This Row],[Remaining Life:]]))</f>
        <v/>
      </c>
      <c r="AJ54" s="165"/>
      <c r="AK54" s="170" t="str">
        <f>IF(Table2[[#This Row],[Counter Number]]="","",Application!$D$14+1)</f>
        <v/>
      </c>
      <c r="AL54" s="60" t="str">
        <f>IF(Table2[[#This Row],[Counter Number]]="","","Vehicle Replacement")</f>
        <v/>
      </c>
      <c r="AM5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4" s="171" t="str">
        <f>IF(Table2[[#This Row],[Counter Number]]="","",Table1[[#This Row],[Cost of New Bus:]])</f>
        <v/>
      </c>
      <c r="AO54" s="60" t="str">
        <f>IF(Table2[[#This Row],[Counter Number]]="","","NA")</f>
        <v/>
      </c>
      <c r="AP54" s="165" t="str">
        <f>IF(Table2[[#This Row],[Counter Number]]="","",Table1[[#This Row],[New Engine Model Year:]])</f>
        <v/>
      </c>
      <c r="AQ54" s="60" t="str">
        <f>IF(Table2[[#This Row],[Counter Number]]="","","NA")</f>
        <v/>
      </c>
      <c r="AR54" s="165" t="str">
        <f>IF(Table2[[#This Row],[Counter Number]]="","",Table1[[#This Row],[New Engine Horsepower (HP):]])</f>
        <v/>
      </c>
      <c r="AS54" s="60" t="str">
        <f>IF(Table2[[#This Row],[Counter Number]]="","","NA")</f>
        <v/>
      </c>
      <c r="AT54" s="165" t="str">
        <f>IF(Table2[[#This Row],[Counter Number]]="","",Table1[[#This Row],[New Engine Cylinder Displacement (L):]]&amp;" L")</f>
        <v/>
      </c>
      <c r="AU54" s="114" t="str">
        <f>IF(Table2[[#This Row],[Counter Number]]="","",Table1[[#This Row],[New Engine Number of Cylinders:]])</f>
        <v/>
      </c>
      <c r="AV54" s="60" t="str">
        <f>IF(Table2[[#This Row],[Counter Number]]="","",Table1[[#This Row],[New Engine Family Name:]])</f>
        <v/>
      </c>
      <c r="AW5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4" s="60" t="str">
        <f>IF(Table2[[#This Row],[Counter Number]]="","","NA")</f>
        <v/>
      </c>
      <c r="AY54" s="172" t="str">
        <f>IF(Table2[[#This Row],[Counter Number]]="","",IF(Table2[[#This Row],[New Engine Fuel Type:]]="ULSD",Table1[[#This Row],[Annual Miles Traveled]]/Table1[[#This Row],[New Fuel (mpg) if Diesel]],""))</f>
        <v/>
      </c>
      <c r="AZ54" s="60"/>
      <c r="BA54" s="173" t="str">
        <f>IF(Table2[[#This Row],[Counter Number]]="","",Table2[[#This Row],[Annual Miles Traveled:]]*VLOOKUP(Table2[[#This Row],[Engine Model Year:]],EFTable[],3,FALSE))</f>
        <v/>
      </c>
      <c r="BB54" s="173" t="str">
        <f>IF(Table2[[#This Row],[Counter Number]]="","",Table2[[#This Row],[Annual Miles Traveled:]]*IF(Table2[[#This Row],[New Engine Fuel Type:]]="ULSD",VLOOKUP(Table2[[#This Row],[New Engine Model Year:]],EFTable[],3,FALSE),VLOOKUP(Table2[[#This Row],[New Engine Fuel Type:]],EFTable[],3,FALSE)))</f>
        <v/>
      </c>
      <c r="BC54" s="187" t="str">
        <f>IF(Table2[[#This Row],[Counter Number]]="","",Table2[[#This Row],[Old Bus NOx Emissions (tons/yr)]]-Table2[[#This Row],[New Bus NOx Emissions (tons/yr)]])</f>
        <v/>
      </c>
      <c r="BD54" s="188" t="str">
        <f>IF(Table2[[#This Row],[Counter Number]]="","",Table2[[#This Row],[Reduction Bus NOx Emissions (tons/yr)]]/Table2[[#This Row],[Old Bus NOx Emissions (tons/yr)]])</f>
        <v/>
      </c>
      <c r="BE54" s="175" t="str">
        <f>IF(Table2[[#This Row],[Counter Number]]="","",Table2[[#This Row],[Reduction Bus NOx Emissions (tons/yr)]]*Table2[[#This Row],[Remaining Life:]])</f>
        <v/>
      </c>
      <c r="BF54" s="189" t="str">
        <f>IF(Table2[[#This Row],[Counter Number]]="","",IF(Table2[[#This Row],[Lifetime NOx Reduction (tons)]]=0,"NA",Table2[[#This Row],[Upgrade Cost Per Unit]]/Table2[[#This Row],[Lifetime NOx Reduction (tons)]]))</f>
        <v/>
      </c>
      <c r="BG54" s="190" t="str">
        <f>IF(Table2[[#This Row],[Counter Number]]="","",Table2[[#This Row],[Annual Miles Traveled:]]*VLOOKUP(Table2[[#This Row],[Engine Model Year:]],EF!$A$2:$G$27,4,FALSE))</f>
        <v/>
      </c>
      <c r="BH54" s="173" t="str">
        <f>IF(Table2[[#This Row],[Counter Number]]="","",Table2[[#This Row],[Annual Miles Traveled:]]*IF(Table2[[#This Row],[New Engine Fuel Type:]]="ULSD",VLOOKUP(Table2[[#This Row],[New Engine Model Year:]],EFTable[],4,FALSE),VLOOKUP(Table2[[#This Row],[New Engine Fuel Type:]],EFTable[],4,FALSE)))</f>
        <v/>
      </c>
      <c r="BI54" s="191" t="str">
        <f>IF(Table2[[#This Row],[Counter Number]]="","",Table2[[#This Row],[Old Bus PM2.5 Emissions (tons/yr)]]-Table2[[#This Row],[New Bus PM2.5 Emissions (tons/yr)]])</f>
        <v/>
      </c>
      <c r="BJ54" s="192" t="str">
        <f>IF(Table2[[#This Row],[Counter Number]]="","",Table2[[#This Row],[Reduction Bus PM2.5 Emissions (tons/yr)]]/Table2[[#This Row],[Old Bus PM2.5 Emissions (tons/yr)]])</f>
        <v/>
      </c>
      <c r="BK54" s="193" t="str">
        <f>IF(Table2[[#This Row],[Counter Number]]="","",Table2[[#This Row],[Reduction Bus PM2.5 Emissions (tons/yr)]]*Table2[[#This Row],[Remaining Life:]])</f>
        <v/>
      </c>
      <c r="BL54" s="194" t="str">
        <f>IF(Table2[[#This Row],[Counter Number]]="","",IF(Table2[[#This Row],[Lifetime PM2.5 Reduction (tons)]]=0,"NA",Table2[[#This Row],[Upgrade Cost Per Unit]]/Table2[[#This Row],[Lifetime PM2.5 Reduction (tons)]]))</f>
        <v/>
      </c>
      <c r="BM54" s="179" t="str">
        <f>IF(Table2[[#This Row],[Counter Number]]="","",Table2[[#This Row],[Annual Miles Traveled:]]*VLOOKUP(Table2[[#This Row],[Engine Model Year:]],EF!$A$2:$G$40,5,FALSE))</f>
        <v/>
      </c>
      <c r="BN54" s="173" t="str">
        <f>IF(Table2[[#This Row],[Counter Number]]="","",Table2[[#This Row],[Annual Miles Traveled:]]*IF(Table2[[#This Row],[New Engine Fuel Type:]]="ULSD",VLOOKUP(Table2[[#This Row],[New Engine Model Year:]],EFTable[],5,FALSE),VLOOKUP(Table2[[#This Row],[New Engine Fuel Type:]],EFTable[],5,FALSE)))</f>
        <v/>
      </c>
      <c r="BO54" s="190" t="str">
        <f>IF(Table2[[#This Row],[Counter Number]]="","",Table2[[#This Row],[Old Bus HC Emissions (tons/yr)]]-Table2[[#This Row],[New Bus HC Emissions (tons/yr)]])</f>
        <v/>
      </c>
      <c r="BP54" s="188" t="str">
        <f>IF(Table2[[#This Row],[Counter Number]]="","",Table2[[#This Row],[Reduction Bus HC Emissions (tons/yr)]]/Table2[[#This Row],[Old Bus HC Emissions (tons/yr)]])</f>
        <v/>
      </c>
      <c r="BQ54" s="193" t="str">
        <f>IF(Table2[[#This Row],[Counter Number]]="","",Table2[[#This Row],[Reduction Bus HC Emissions (tons/yr)]]*Table2[[#This Row],[Remaining Life:]])</f>
        <v/>
      </c>
      <c r="BR54" s="194" t="str">
        <f>IF(Table2[[#This Row],[Counter Number]]="","",IF(Table2[[#This Row],[Lifetime HC Reduction (tons)]]=0,"NA",Table2[[#This Row],[Upgrade Cost Per Unit]]/Table2[[#This Row],[Lifetime HC Reduction (tons)]]))</f>
        <v/>
      </c>
      <c r="BS54" s="191" t="str">
        <f>IF(Table2[[#This Row],[Counter Number]]="","",Table2[[#This Row],[Annual Miles Traveled:]]*VLOOKUP(Table2[[#This Row],[Engine Model Year:]],EF!$A$2:$G$27,6,FALSE))</f>
        <v/>
      </c>
      <c r="BT54" s="173" t="str">
        <f>IF(Table2[[#This Row],[Counter Number]]="","",Table2[[#This Row],[Annual Miles Traveled:]]*IF(Table2[[#This Row],[New Engine Fuel Type:]]="ULSD",VLOOKUP(Table2[[#This Row],[New Engine Model Year:]],EFTable[],6,FALSE),VLOOKUP(Table2[[#This Row],[New Engine Fuel Type:]],EFTable[],6,FALSE)))</f>
        <v/>
      </c>
      <c r="BU54" s="190" t="str">
        <f>IF(Table2[[#This Row],[Counter Number]]="","",Table2[[#This Row],[Old Bus CO Emissions (tons/yr)]]-Table2[[#This Row],[New Bus CO Emissions (tons/yr)]])</f>
        <v/>
      </c>
      <c r="BV54" s="188" t="str">
        <f>IF(Table2[[#This Row],[Counter Number]]="","",Table2[[#This Row],[Reduction Bus CO Emissions (tons/yr)]]/Table2[[#This Row],[Old Bus CO Emissions (tons/yr)]])</f>
        <v/>
      </c>
      <c r="BW54" s="193" t="str">
        <f>IF(Table2[[#This Row],[Counter Number]]="","",Table2[[#This Row],[Reduction Bus CO Emissions (tons/yr)]]*Table2[[#This Row],[Remaining Life:]])</f>
        <v/>
      </c>
      <c r="BX54" s="194" t="str">
        <f>IF(Table2[[#This Row],[Counter Number]]="","",IF(Table2[[#This Row],[Lifetime CO Reduction (tons)]]=0,"NA",Table2[[#This Row],[Upgrade Cost Per Unit]]/Table2[[#This Row],[Lifetime CO Reduction (tons)]]))</f>
        <v/>
      </c>
      <c r="BY54" s="180" t="str">
        <f>IF(Table2[[#This Row],[Counter Number]]="","",Table2[[#This Row],[Old ULSD Used (gal):]]*VLOOKUP(Table2[[#This Row],[Engine Model Year:]],EF!$A$2:$G$27,7,FALSE))</f>
        <v/>
      </c>
      <c r="BZ5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4" s="195" t="str">
        <f>IF(Table2[[#This Row],[Counter Number]]="","",Table2[[#This Row],[Old Bus CO2 Emissions (tons/yr)]]-Table2[[#This Row],[New Bus CO2 Emissions (tons/yr)]])</f>
        <v/>
      </c>
      <c r="CB54" s="188" t="str">
        <f>IF(Table2[[#This Row],[Counter Number]]="","",Table2[[#This Row],[Reduction Bus CO2 Emissions (tons/yr)]]/Table2[[#This Row],[Old Bus CO2 Emissions (tons/yr)]])</f>
        <v/>
      </c>
      <c r="CC54" s="195" t="str">
        <f>IF(Table2[[#This Row],[Counter Number]]="","",Table2[[#This Row],[Reduction Bus CO2 Emissions (tons/yr)]]*Table2[[#This Row],[Remaining Life:]])</f>
        <v/>
      </c>
      <c r="CD54" s="194" t="str">
        <f>IF(Table2[[#This Row],[Counter Number]]="","",IF(Table2[[#This Row],[Lifetime CO2 Reduction (tons)]]=0,"NA",Table2[[#This Row],[Upgrade Cost Per Unit]]/Table2[[#This Row],[Lifetime CO2 Reduction (tons)]]))</f>
        <v/>
      </c>
      <c r="CE54" s="182" t="str">
        <f>IF(Table2[[#This Row],[Counter Number]]="","",IF(Table2[[#This Row],[New ULSD Used (gal):]]="",Table2[[#This Row],[Old ULSD Used (gal):]],Table2[[#This Row],[Old ULSD Used (gal):]]-Table2[[#This Row],[New ULSD Used (gal):]]))</f>
        <v/>
      </c>
      <c r="CF54" s="196" t="str">
        <f>IF(Table2[[#This Row],[Counter Number]]="","",Table2[[#This Row],[Diesel Fuel Reduction (gal/yr)]]/Table2[[#This Row],[Old ULSD Used (gal):]])</f>
        <v/>
      </c>
      <c r="CG54" s="197" t="str">
        <f>IF(Table2[[#This Row],[Counter Number]]="","",Table2[[#This Row],[Diesel Fuel Reduction (gal/yr)]]*Table2[[#This Row],[Remaining Life:]])</f>
        <v/>
      </c>
    </row>
    <row r="55" spans="1:85">
      <c r="A55" s="184" t="str">
        <f>IF(A54&lt;Application!$D$24,A54+1,"")</f>
        <v/>
      </c>
      <c r="B55" s="60" t="str">
        <f>IF(Table2[[#This Row],[Counter Number]]="","",Application!$D$16)</f>
        <v/>
      </c>
      <c r="C55" s="60" t="str">
        <f>IF(Table2[[#This Row],[Counter Number]]="","",Application!$D$14)</f>
        <v/>
      </c>
      <c r="D55" s="60" t="str">
        <f>IF(Table2[[#This Row],[Counter Number]]="","",Table1[[#This Row],[Old Bus Number]])</f>
        <v/>
      </c>
      <c r="E55" s="60" t="str">
        <f>IF(Table2[[#This Row],[Counter Number]]="","",Application!$D$15)</f>
        <v/>
      </c>
      <c r="F55" s="60" t="str">
        <f>IF(Table2[[#This Row],[Counter Number]]="","","On Highway")</f>
        <v/>
      </c>
      <c r="G55" s="60" t="str">
        <f>IF(Table2[[#This Row],[Counter Number]]="","",I55)</f>
        <v/>
      </c>
      <c r="H55" s="60" t="str">
        <f>IF(Table2[[#This Row],[Counter Number]]="","","Georgia")</f>
        <v/>
      </c>
      <c r="I55" s="60" t="str">
        <f>IF(Table2[[#This Row],[Counter Number]]="","",Application!$D$16)</f>
        <v/>
      </c>
      <c r="J55" s="60" t="str">
        <f>IF(Table2[[#This Row],[Counter Number]]="","",Application!$D$21)</f>
        <v/>
      </c>
      <c r="K55" s="60" t="str">
        <f>IF(Table2[[#This Row],[Counter Number]]="","",Application!$J$21)</f>
        <v/>
      </c>
      <c r="L55" s="60" t="str">
        <f>IF(Table2[[#This Row],[Counter Number]]="","","School Bus")</f>
        <v/>
      </c>
      <c r="M55" s="60" t="str">
        <f>IF(Table2[[#This Row],[Counter Number]]="","","School Bus")</f>
        <v/>
      </c>
      <c r="N55" s="60" t="str">
        <f>IF(Table2[[#This Row],[Counter Number]]="","",1)</f>
        <v/>
      </c>
      <c r="O55" s="60" t="str">
        <f>IF(Table2[[#This Row],[Counter Number]]="","",Table1[[#This Row],[Vehicle Identification Number(s):]])</f>
        <v/>
      </c>
      <c r="P55" s="60" t="str">
        <f>IF(Table2[[#This Row],[Counter Number]]="","",Table1[[#This Row],[Old Bus Manufacturer:]])</f>
        <v/>
      </c>
      <c r="Q55" s="60" t="str">
        <f>IF(Table2[[#This Row],[Counter Number]]="","",Table1[[#This Row],[Vehicle Model:]])</f>
        <v/>
      </c>
      <c r="R55" s="165" t="str">
        <f>IF(Table2[[#This Row],[Counter Number]]="","",Table1[[#This Row],[Vehicle Model Year:]])</f>
        <v/>
      </c>
      <c r="S55" s="60" t="str">
        <f>IF(Table2[[#This Row],[Counter Number]]="","",Table1[[#This Row],[Engine Serial Number(s):]])</f>
        <v/>
      </c>
      <c r="T55" s="60" t="str">
        <f>IF(Table2[[#This Row],[Counter Number]]="","",Table1[[#This Row],[Engine Make:]])</f>
        <v/>
      </c>
      <c r="U55" s="60" t="str">
        <f>IF(Table2[[#This Row],[Counter Number]]="","",Table1[[#This Row],[Engine Model:]])</f>
        <v/>
      </c>
      <c r="V55" s="165" t="str">
        <f>IF(Table2[[#This Row],[Counter Number]]="","",Table1[[#This Row],[Engine Model Year:]])</f>
        <v/>
      </c>
      <c r="W55" s="60" t="str">
        <f>IF(Table2[[#This Row],[Counter Number]]="","","NA")</f>
        <v/>
      </c>
      <c r="X55" s="165" t="str">
        <f>IF(Table2[[#This Row],[Counter Number]]="","",Table1[[#This Row],[Engine Horsepower (HP):]])</f>
        <v/>
      </c>
      <c r="Y55" s="165" t="str">
        <f>IF(Table2[[#This Row],[Counter Number]]="","",Table1[[#This Row],[Engine Cylinder Displacement (L):]]&amp;" L")</f>
        <v/>
      </c>
      <c r="Z55" s="165" t="str">
        <f>IF(Table2[[#This Row],[Counter Number]]="","",Table1[[#This Row],[Engine Number of Cylinders:]])</f>
        <v/>
      </c>
      <c r="AA55" s="166" t="str">
        <f>IF(Table2[[#This Row],[Counter Number]]="","",Table1[[#This Row],[Engine Family Name:]])</f>
        <v/>
      </c>
      <c r="AB55" s="60" t="str">
        <f>IF(Table2[[#This Row],[Counter Number]]="","","ULSD")</f>
        <v/>
      </c>
      <c r="AC55" s="167" t="str">
        <f>IF(Table2[[#This Row],[Counter Number]]="","",Table2[[#This Row],[Annual Miles Traveled:]]/Table1[[#This Row],[Old Fuel (mpg)]])</f>
        <v/>
      </c>
      <c r="AD55" s="60" t="str">
        <f>IF(Table2[[#This Row],[Counter Number]]="","","NA")</f>
        <v/>
      </c>
      <c r="AE55" s="168" t="str">
        <f>IF(Table2[[#This Row],[Counter Number]]="","",Table1[[#This Row],[Annual Miles Traveled]])</f>
        <v/>
      </c>
      <c r="AF55" s="169" t="str">
        <f>IF(Table2[[#This Row],[Counter Number]]="","",Table1[[#This Row],[Annual Idling Hours:]])</f>
        <v/>
      </c>
      <c r="AG55" s="60" t="str">
        <f>IF(Table2[[#This Row],[Counter Number]]="","","NA")</f>
        <v/>
      </c>
      <c r="AH55" s="165" t="str">
        <f>IF(Table2[[#This Row],[Counter Number]]="","",IF(Application!$J$25="Set Policy",Table1[[#This Row],[Remaining Life (years)         Set Policy]],Table1[[#This Row],[Remaining Life (years)               Case-by-Case]]))</f>
        <v/>
      </c>
      <c r="AI55" s="165" t="str">
        <f>IF(Table2[[#This Row],[Counter Number]]="","",IF(Application!$J$25="Case-by-Case","NA",Table2[[#This Row],[Fiscal Year of EPA Funds Used:]]+Table2[[#This Row],[Remaining Life:]]))</f>
        <v/>
      </c>
      <c r="AJ55" s="165"/>
      <c r="AK55" s="170" t="str">
        <f>IF(Table2[[#This Row],[Counter Number]]="","",Application!$D$14+1)</f>
        <v/>
      </c>
      <c r="AL55" s="60" t="str">
        <f>IF(Table2[[#This Row],[Counter Number]]="","","Vehicle Replacement")</f>
        <v/>
      </c>
      <c r="AM5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5" s="171" t="str">
        <f>IF(Table2[[#This Row],[Counter Number]]="","",Table1[[#This Row],[Cost of New Bus:]])</f>
        <v/>
      </c>
      <c r="AO55" s="60" t="str">
        <f>IF(Table2[[#This Row],[Counter Number]]="","","NA")</f>
        <v/>
      </c>
      <c r="AP55" s="165" t="str">
        <f>IF(Table2[[#This Row],[Counter Number]]="","",Table1[[#This Row],[New Engine Model Year:]])</f>
        <v/>
      </c>
      <c r="AQ55" s="60" t="str">
        <f>IF(Table2[[#This Row],[Counter Number]]="","","NA")</f>
        <v/>
      </c>
      <c r="AR55" s="165" t="str">
        <f>IF(Table2[[#This Row],[Counter Number]]="","",Table1[[#This Row],[New Engine Horsepower (HP):]])</f>
        <v/>
      </c>
      <c r="AS55" s="60" t="str">
        <f>IF(Table2[[#This Row],[Counter Number]]="","","NA")</f>
        <v/>
      </c>
      <c r="AT55" s="165" t="str">
        <f>IF(Table2[[#This Row],[Counter Number]]="","",Table1[[#This Row],[New Engine Cylinder Displacement (L):]]&amp;" L")</f>
        <v/>
      </c>
      <c r="AU55" s="114" t="str">
        <f>IF(Table2[[#This Row],[Counter Number]]="","",Table1[[#This Row],[New Engine Number of Cylinders:]])</f>
        <v/>
      </c>
      <c r="AV55" s="60" t="str">
        <f>IF(Table2[[#This Row],[Counter Number]]="","",Table1[[#This Row],[New Engine Family Name:]])</f>
        <v/>
      </c>
      <c r="AW5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5" s="60" t="str">
        <f>IF(Table2[[#This Row],[Counter Number]]="","","NA")</f>
        <v/>
      </c>
      <c r="AY55" s="172" t="str">
        <f>IF(Table2[[#This Row],[Counter Number]]="","",IF(Table2[[#This Row],[New Engine Fuel Type:]]="ULSD",Table1[[#This Row],[Annual Miles Traveled]]/Table1[[#This Row],[New Fuel (mpg) if Diesel]],""))</f>
        <v/>
      </c>
      <c r="AZ55" s="60"/>
      <c r="BA55" s="173" t="str">
        <f>IF(Table2[[#This Row],[Counter Number]]="","",Table2[[#This Row],[Annual Miles Traveled:]]*VLOOKUP(Table2[[#This Row],[Engine Model Year:]],EFTable[],3,FALSE))</f>
        <v/>
      </c>
      <c r="BB55" s="173" t="str">
        <f>IF(Table2[[#This Row],[Counter Number]]="","",Table2[[#This Row],[Annual Miles Traveled:]]*IF(Table2[[#This Row],[New Engine Fuel Type:]]="ULSD",VLOOKUP(Table2[[#This Row],[New Engine Model Year:]],EFTable[],3,FALSE),VLOOKUP(Table2[[#This Row],[New Engine Fuel Type:]],EFTable[],3,FALSE)))</f>
        <v/>
      </c>
      <c r="BC55" s="187" t="str">
        <f>IF(Table2[[#This Row],[Counter Number]]="","",Table2[[#This Row],[Old Bus NOx Emissions (tons/yr)]]-Table2[[#This Row],[New Bus NOx Emissions (tons/yr)]])</f>
        <v/>
      </c>
      <c r="BD55" s="188" t="str">
        <f>IF(Table2[[#This Row],[Counter Number]]="","",Table2[[#This Row],[Reduction Bus NOx Emissions (tons/yr)]]/Table2[[#This Row],[Old Bus NOx Emissions (tons/yr)]])</f>
        <v/>
      </c>
      <c r="BE55" s="175" t="str">
        <f>IF(Table2[[#This Row],[Counter Number]]="","",Table2[[#This Row],[Reduction Bus NOx Emissions (tons/yr)]]*Table2[[#This Row],[Remaining Life:]])</f>
        <v/>
      </c>
      <c r="BF55" s="189" t="str">
        <f>IF(Table2[[#This Row],[Counter Number]]="","",IF(Table2[[#This Row],[Lifetime NOx Reduction (tons)]]=0,"NA",Table2[[#This Row],[Upgrade Cost Per Unit]]/Table2[[#This Row],[Lifetime NOx Reduction (tons)]]))</f>
        <v/>
      </c>
      <c r="BG55" s="190" t="str">
        <f>IF(Table2[[#This Row],[Counter Number]]="","",Table2[[#This Row],[Annual Miles Traveled:]]*VLOOKUP(Table2[[#This Row],[Engine Model Year:]],EF!$A$2:$G$27,4,FALSE))</f>
        <v/>
      </c>
      <c r="BH55" s="173" t="str">
        <f>IF(Table2[[#This Row],[Counter Number]]="","",Table2[[#This Row],[Annual Miles Traveled:]]*IF(Table2[[#This Row],[New Engine Fuel Type:]]="ULSD",VLOOKUP(Table2[[#This Row],[New Engine Model Year:]],EFTable[],4,FALSE),VLOOKUP(Table2[[#This Row],[New Engine Fuel Type:]],EFTable[],4,FALSE)))</f>
        <v/>
      </c>
      <c r="BI55" s="191" t="str">
        <f>IF(Table2[[#This Row],[Counter Number]]="","",Table2[[#This Row],[Old Bus PM2.5 Emissions (tons/yr)]]-Table2[[#This Row],[New Bus PM2.5 Emissions (tons/yr)]])</f>
        <v/>
      </c>
      <c r="BJ55" s="192" t="str">
        <f>IF(Table2[[#This Row],[Counter Number]]="","",Table2[[#This Row],[Reduction Bus PM2.5 Emissions (tons/yr)]]/Table2[[#This Row],[Old Bus PM2.5 Emissions (tons/yr)]])</f>
        <v/>
      </c>
      <c r="BK55" s="193" t="str">
        <f>IF(Table2[[#This Row],[Counter Number]]="","",Table2[[#This Row],[Reduction Bus PM2.5 Emissions (tons/yr)]]*Table2[[#This Row],[Remaining Life:]])</f>
        <v/>
      </c>
      <c r="BL55" s="194" t="str">
        <f>IF(Table2[[#This Row],[Counter Number]]="","",IF(Table2[[#This Row],[Lifetime PM2.5 Reduction (tons)]]=0,"NA",Table2[[#This Row],[Upgrade Cost Per Unit]]/Table2[[#This Row],[Lifetime PM2.5 Reduction (tons)]]))</f>
        <v/>
      </c>
      <c r="BM55" s="179" t="str">
        <f>IF(Table2[[#This Row],[Counter Number]]="","",Table2[[#This Row],[Annual Miles Traveled:]]*VLOOKUP(Table2[[#This Row],[Engine Model Year:]],EF!$A$2:$G$40,5,FALSE))</f>
        <v/>
      </c>
      <c r="BN55" s="173" t="str">
        <f>IF(Table2[[#This Row],[Counter Number]]="","",Table2[[#This Row],[Annual Miles Traveled:]]*IF(Table2[[#This Row],[New Engine Fuel Type:]]="ULSD",VLOOKUP(Table2[[#This Row],[New Engine Model Year:]],EFTable[],5,FALSE),VLOOKUP(Table2[[#This Row],[New Engine Fuel Type:]],EFTable[],5,FALSE)))</f>
        <v/>
      </c>
      <c r="BO55" s="190" t="str">
        <f>IF(Table2[[#This Row],[Counter Number]]="","",Table2[[#This Row],[Old Bus HC Emissions (tons/yr)]]-Table2[[#This Row],[New Bus HC Emissions (tons/yr)]])</f>
        <v/>
      </c>
      <c r="BP55" s="188" t="str">
        <f>IF(Table2[[#This Row],[Counter Number]]="","",Table2[[#This Row],[Reduction Bus HC Emissions (tons/yr)]]/Table2[[#This Row],[Old Bus HC Emissions (tons/yr)]])</f>
        <v/>
      </c>
      <c r="BQ55" s="193" t="str">
        <f>IF(Table2[[#This Row],[Counter Number]]="","",Table2[[#This Row],[Reduction Bus HC Emissions (tons/yr)]]*Table2[[#This Row],[Remaining Life:]])</f>
        <v/>
      </c>
      <c r="BR55" s="194" t="str">
        <f>IF(Table2[[#This Row],[Counter Number]]="","",IF(Table2[[#This Row],[Lifetime HC Reduction (tons)]]=0,"NA",Table2[[#This Row],[Upgrade Cost Per Unit]]/Table2[[#This Row],[Lifetime HC Reduction (tons)]]))</f>
        <v/>
      </c>
      <c r="BS55" s="191" t="str">
        <f>IF(Table2[[#This Row],[Counter Number]]="","",Table2[[#This Row],[Annual Miles Traveled:]]*VLOOKUP(Table2[[#This Row],[Engine Model Year:]],EF!$A$2:$G$27,6,FALSE))</f>
        <v/>
      </c>
      <c r="BT55" s="173" t="str">
        <f>IF(Table2[[#This Row],[Counter Number]]="","",Table2[[#This Row],[Annual Miles Traveled:]]*IF(Table2[[#This Row],[New Engine Fuel Type:]]="ULSD",VLOOKUP(Table2[[#This Row],[New Engine Model Year:]],EFTable[],6,FALSE),VLOOKUP(Table2[[#This Row],[New Engine Fuel Type:]],EFTable[],6,FALSE)))</f>
        <v/>
      </c>
      <c r="BU55" s="190" t="str">
        <f>IF(Table2[[#This Row],[Counter Number]]="","",Table2[[#This Row],[Old Bus CO Emissions (tons/yr)]]-Table2[[#This Row],[New Bus CO Emissions (tons/yr)]])</f>
        <v/>
      </c>
      <c r="BV55" s="188" t="str">
        <f>IF(Table2[[#This Row],[Counter Number]]="","",Table2[[#This Row],[Reduction Bus CO Emissions (tons/yr)]]/Table2[[#This Row],[Old Bus CO Emissions (tons/yr)]])</f>
        <v/>
      </c>
      <c r="BW55" s="193" t="str">
        <f>IF(Table2[[#This Row],[Counter Number]]="","",Table2[[#This Row],[Reduction Bus CO Emissions (tons/yr)]]*Table2[[#This Row],[Remaining Life:]])</f>
        <v/>
      </c>
      <c r="BX55" s="194" t="str">
        <f>IF(Table2[[#This Row],[Counter Number]]="","",IF(Table2[[#This Row],[Lifetime CO Reduction (tons)]]=0,"NA",Table2[[#This Row],[Upgrade Cost Per Unit]]/Table2[[#This Row],[Lifetime CO Reduction (tons)]]))</f>
        <v/>
      </c>
      <c r="BY55" s="180" t="str">
        <f>IF(Table2[[#This Row],[Counter Number]]="","",Table2[[#This Row],[Old ULSD Used (gal):]]*VLOOKUP(Table2[[#This Row],[Engine Model Year:]],EF!$A$2:$G$27,7,FALSE))</f>
        <v/>
      </c>
      <c r="BZ5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5" s="195" t="str">
        <f>IF(Table2[[#This Row],[Counter Number]]="","",Table2[[#This Row],[Old Bus CO2 Emissions (tons/yr)]]-Table2[[#This Row],[New Bus CO2 Emissions (tons/yr)]])</f>
        <v/>
      </c>
      <c r="CB55" s="188" t="str">
        <f>IF(Table2[[#This Row],[Counter Number]]="","",Table2[[#This Row],[Reduction Bus CO2 Emissions (tons/yr)]]/Table2[[#This Row],[Old Bus CO2 Emissions (tons/yr)]])</f>
        <v/>
      </c>
      <c r="CC55" s="195" t="str">
        <f>IF(Table2[[#This Row],[Counter Number]]="","",Table2[[#This Row],[Reduction Bus CO2 Emissions (tons/yr)]]*Table2[[#This Row],[Remaining Life:]])</f>
        <v/>
      </c>
      <c r="CD55" s="194" t="str">
        <f>IF(Table2[[#This Row],[Counter Number]]="","",IF(Table2[[#This Row],[Lifetime CO2 Reduction (tons)]]=0,"NA",Table2[[#This Row],[Upgrade Cost Per Unit]]/Table2[[#This Row],[Lifetime CO2 Reduction (tons)]]))</f>
        <v/>
      </c>
      <c r="CE55" s="182" t="str">
        <f>IF(Table2[[#This Row],[Counter Number]]="","",IF(Table2[[#This Row],[New ULSD Used (gal):]]="",Table2[[#This Row],[Old ULSD Used (gal):]],Table2[[#This Row],[Old ULSD Used (gal):]]-Table2[[#This Row],[New ULSD Used (gal):]]))</f>
        <v/>
      </c>
      <c r="CF55" s="196" t="str">
        <f>IF(Table2[[#This Row],[Counter Number]]="","",Table2[[#This Row],[Diesel Fuel Reduction (gal/yr)]]/Table2[[#This Row],[Old ULSD Used (gal):]])</f>
        <v/>
      </c>
      <c r="CG55" s="197" t="str">
        <f>IF(Table2[[#This Row],[Counter Number]]="","",Table2[[#This Row],[Diesel Fuel Reduction (gal/yr)]]*Table2[[#This Row],[Remaining Life:]])</f>
        <v/>
      </c>
    </row>
    <row r="56" spans="1:85">
      <c r="A56" s="184" t="str">
        <f>IF(A55&lt;Application!$D$24,A55+1,"")</f>
        <v/>
      </c>
      <c r="B56" s="60" t="str">
        <f>IF(Table2[[#This Row],[Counter Number]]="","",Application!$D$16)</f>
        <v/>
      </c>
      <c r="C56" s="60" t="str">
        <f>IF(Table2[[#This Row],[Counter Number]]="","",Application!$D$14)</f>
        <v/>
      </c>
      <c r="D56" s="60" t="str">
        <f>IF(Table2[[#This Row],[Counter Number]]="","",Table1[[#This Row],[Old Bus Number]])</f>
        <v/>
      </c>
      <c r="E56" s="60" t="str">
        <f>IF(Table2[[#This Row],[Counter Number]]="","",Application!$D$15)</f>
        <v/>
      </c>
      <c r="F56" s="60" t="str">
        <f>IF(Table2[[#This Row],[Counter Number]]="","","On Highway")</f>
        <v/>
      </c>
      <c r="G56" s="60" t="str">
        <f>IF(Table2[[#This Row],[Counter Number]]="","",I56)</f>
        <v/>
      </c>
      <c r="H56" s="60" t="str">
        <f>IF(Table2[[#This Row],[Counter Number]]="","","Georgia")</f>
        <v/>
      </c>
      <c r="I56" s="60" t="str">
        <f>IF(Table2[[#This Row],[Counter Number]]="","",Application!$D$16)</f>
        <v/>
      </c>
      <c r="J56" s="60" t="str">
        <f>IF(Table2[[#This Row],[Counter Number]]="","",Application!$D$21)</f>
        <v/>
      </c>
      <c r="K56" s="60" t="str">
        <f>IF(Table2[[#This Row],[Counter Number]]="","",Application!$J$21)</f>
        <v/>
      </c>
      <c r="L56" s="60" t="str">
        <f>IF(Table2[[#This Row],[Counter Number]]="","","School Bus")</f>
        <v/>
      </c>
      <c r="M56" s="60" t="str">
        <f>IF(Table2[[#This Row],[Counter Number]]="","","School Bus")</f>
        <v/>
      </c>
      <c r="N56" s="60" t="str">
        <f>IF(Table2[[#This Row],[Counter Number]]="","",1)</f>
        <v/>
      </c>
      <c r="O56" s="60" t="str">
        <f>IF(Table2[[#This Row],[Counter Number]]="","",Table1[[#This Row],[Vehicle Identification Number(s):]])</f>
        <v/>
      </c>
      <c r="P56" s="60" t="str">
        <f>IF(Table2[[#This Row],[Counter Number]]="","",Table1[[#This Row],[Old Bus Manufacturer:]])</f>
        <v/>
      </c>
      <c r="Q56" s="60" t="str">
        <f>IF(Table2[[#This Row],[Counter Number]]="","",Table1[[#This Row],[Vehicle Model:]])</f>
        <v/>
      </c>
      <c r="R56" s="165" t="str">
        <f>IF(Table2[[#This Row],[Counter Number]]="","",Table1[[#This Row],[Vehicle Model Year:]])</f>
        <v/>
      </c>
      <c r="S56" s="60" t="str">
        <f>IF(Table2[[#This Row],[Counter Number]]="","",Table1[[#This Row],[Engine Serial Number(s):]])</f>
        <v/>
      </c>
      <c r="T56" s="60" t="str">
        <f>IF(Table2[[#This Row],[Counter Number]]="","",Table1[[#This Row],[Engine Make:]])</f>
        <v/>
      </c>
      <c r="U56" s="60" t="str">
        <f>IF(Table2[[#This Row],[Counter Number]]="","",Table1[[#This Row],[Engine Model:]])</f>
        <v/>
      </c>
      <c r="V56" s="165" t="str">
        <f>IF(Table2[[#This Row],[Counter Number]]="","",Table1[[#This Row],[Engine Model Year:]])</f>
        <v/>
      </c>
      <c r="W56" s="60" t="str">
        <f>IF(Table2[[#This Row],[Counter Number]]="","","NA")</f>
        <v/>
      </c>
      <c r="X56" s="165" t="str">
        <f>IF(Table2[[#This Row],[Counter Number]]="","",Table1[[#This Row],[Engine Horsepower (HP):]])</f>
        <v/>
      </c>
      <c r="Y56" s="165" t="str">
        <f>IF(Table2[[#This Row],[Counter Number]]="","",Table1[[#This Row],[Engine Cylinder Displacement (L):]]&amp;" L")</f>
        <v/>
      </c>
      <c r="Z56" s="165" t="str">
        <f>IF(Table2[[#This Row],[Counter Number]]="","",Table1[[#This Row],[Engine Number of Cylinders:]])</f>
        <v/>
      </c>
      <c r="AA56" s="166" t="str">
        <f>IF(Table2[[#This Row],[Counter Number]]="","",Table1[[#This Row],[Engine Family Name:]])</f>
        <v/>
      </c>
      <c r="AB56" s="60" t="str">
        <f>IF(Table2[[#This Row],[Counter Number]]="","","ULSD")</f>
        <v/>
      </c>
      <c r="AC56" s="167" t="str">
        <f>IF(Table2[[#This Row],[Counter Number]]="","",Table2[[#This Row],[Annual Miles Traveled:]]/Table1[[#This Row],[Old Fuel (mpg)]])</f>
        <v/>
      </c>
      <c r="AD56" s="60" t="str">
        <f>IF(Table2[[#This Row],[Counter Number]]="","","NA")</f>
        <v/>
      </c>
      <c r="AE56" s="168" t="str">
        <f>IF(Table2[[#This Row],[Counter Number]]="","",Table1[[#This Row],[Annual Miles Traveled]])</f>
        <v/>
      </c>
      <c r="AF56" s="169" t="str">
        <f>IF(Table2[[#This Row],[Counter Number]]="","",Table1[[#This Row],[Annual Idling Hours:]])</f>
        <v/>
      </c>
      <c r="AG56" s="60" t="str">
        <f>IF(Table2[[#This Row],[Counter Number]]="","","NA")</f>
        <v/>
      </c>
      <c r="AH56" s="165" t="str">
        <f>IF(Table2[[#This Row],[Counter Number]]="","",IF(Application!$J$25="Set Policy",Table1[[#This Row],[Remaining Life (years)         Set Policy]],Table1[[#This Row],[Remaining Life (years)               Case-by-Case]]))</f>
        <v/>
      </c>
      <c r="AI56" s="165" t="str">
        <f>IF(Table2[[#This Row],[Counter Number]]="","",IF(Application!$J$25="Case-by-Case","NA",Table2[[#This Row],[Fiscal Year of EPA Funds Used:]]+Table2[[#This Row],[Remaining Life:]]))</f>
        <v/>
      </c>
      <c r="AJ56" s="165"/>
      <c r="AK56" s="170" t="str">
        <f>IF(Table2[[#This Row],[Counter Number]]="","",Application!$D$14+1)</f>
        <v/>
      </c>
      <c r="AL56" s="60" t="str">
        <f>IF(Table2[[#This Row],[Counter Number]]="","","Vehicle Replacement")</f>
        <v/>
      </c>
      <c r="AM5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6" s="171" t="str">
        <f>IF(Table2[[#This Row],[Counter Number]]="","",Table1[[#This Row],[Cost of New Bus:]])</f>
        <v/>
      </c>
      <c r="AO56" s="60" t="str">
        <f>IF(Table2[[#This Row],[Counter Number]]="","","NA")</f>
        <v/>
      </c>
      <c r="AP56" s="165" t="str">
        <f>IF(Table2[[#This Row],[Counter Number]]="","",Table1[[#This Row],[New Engine Model Year:]])</f>
        <v/>
      </c>
      <c r="AQ56" s="60" t="str">
        <f>IF(Table2[[#This Row],[Counter Number]]="","","NA")</f>
        <v/>
      </c>
      <c r="AR56" s="165" t="str">
        <f>IF(Table2[[#This Row],[Counter Number]]="","",Table1[[#This Row],[New Engine Horsepower (HP):]])</f>
        <v/>
      </c>
      <c r="AS56" s="60" t="str">
        <f>IF(Table2[[#This Row],[Counter Number]]="","","NA")</f>
        <v/>
      </c>
      <c r="AT56" s="165" t="str">
        <f>IF(Table2[[#This Row],[Counter Number]]="","",Table1[[#This Row],[New Engine Cylinder Displacement (L):]]&amp;" L")</f>
        <v/>
      </c>
      <c r="AU56" s="114" t="str">
        <f>IF(Table2[[#This Row],[Counter Number]]="","",Table1[[#This Row],[New Engine Number of Cylinders:]])</f>
        <v/>
      </c>
      <c r="AV56" s="60" t="str">
        <f>IF(Table2[[#This Row],[Counter Number]]="","",Table1[[#This Row],[New Engine Family Name:]])</f>
        <v/>
      </c>
      <c r="AW5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6" s="60" t="str">
        <f>IF(Table2[[#This Row],[Counter Number]]="","","NA")</f>
        <v/>
      </c>
      <c r="AY56" s="172" t="str">
        <f>IF(Table2[[#This Row],[Counter Number]]="","",IF(Table2[[#This Row],[New Engine Fuel Type:]]="ULSD",Table1[[#This Row],[Annual Miles Traveled]]/Table1[[#This Row],[New Fuel (mpg) if Diesel]],""))</f>
        <v/>
      </c>
      <c r="AZ56" s="60"/>
      <c r="BA56" s="173" t="str">
        <f>IF(Table2[[#This Row],[Counter Number]]="","",Table2[[#This Row],[Annual Miles Traveled:]]*VLOOKUP(Table2[[#This Row],[Engine Model Year:]],EFTable[],3,FALSE))</f>
        <v/>
      </c>
      <c r="BB56" s="173" t="str">
        <f>IF(Table2[[#This Row],[Counter Number]]="","",Table2[[#This Row],[Annual Miles Traveled:]]*IF(Table2[[#This Row],[New Engine Fuel Type:]]="ULSD",VLOOKUP(Table2[[#This Row],[New Engine Model Year:]],EFTable[],3,FALSE),VLOOKUP(Table2[[#This Row],[New Engine Fuel Type:]],EFTable[],3,FALSE)))</f>
        <v/>
      </c>
      <c r="BC56" s="187" t="str">
        <f>IF(Table2[[#This Row],[Counter Number]]="","",Table2[[#This Row],[Old Bus NOx Emissions (tons/yr)]]-Table2[[#This Row],[New Bus NOx Emissions (tons/yr)]])</f>
        <v/>
      </c>
      <c r="BD56" s="188" t="str">
        <f>IF(Table2[[#This Row],[Counter Number]]="","",Table2[[#This Row],[Reduction Bus NOx Emissions (tons/yr)]]/Table2[[#This Row],[Old Bus NOx Emissions (tons/yr)]])</f>
        <v/>
      </c>
      <c r="BE56" s="175" t="str">
        <f>IF(Table2[[#This Row],[Counter Number]]="","",Table2[[#This Row],[Reduction Bus NOx Emissions (tons/yr)]]*Table2[[#This Row],[Remaining Life:]])</f>
        <v/>
      </c>
      <c r="BF56" s="189" t="str">
        <f>IF(Table2[[#This Row],[Counter Number]]="","",IF(Table2[[#This Row],[Lifetime NOx Reduction (tons)]]=0,"NA",Table2[[#This Row],[Upgrade Cost Per Unit]]/Table2[[#This Row],[Lifetime NOx Reduction (tons)]]))</f>
        <v/>
      </c>
      <c r="BG56" s="190" t="str">
        <f>IF(Table2[[#This Row],[Counter Number]]="","",Table2[[#This Row],[Annual Miles Traveled:]]*VLOOKUP(Table2[[#This Row],[Engine Model Year:]],EF!$A$2:$G$27,4,FALSE))</f>
        <v/>
      </c>
      <c r="BH56" s="173" t="str">
        <f>IF(Table2[[#This Row],[Counter Number]]="","",Table2[[#This Row],[Annual Miles Traveled:]]*IF(Table2[[#This Row],[New Engine Fuel Type:]]="ULSD",VLOOKUP(Table2[[#This Row],[New Engine Model Year:]],EFTable[],4,FALSE),VLOOKUP(Table2[[#This Row],[New Engine Fuel Type:]],EFTable[],4,FALSE)))</f>
        <v/>
      </c>
      <c r="BI56" s="191" t="str">
        <f>IF(Table2[[#This Row],[Counter Number]]="","",Table2[[#This Row],[Old Bus PM2.5 Emissions (tons/yr)]]-Table2[[#This Row],[New Bus PM2.5 Emissions (tons/yr)]])</f>
        <v/>
      </c>
      <c r="BJ56" s="192" t="str">
        <f>IF(Table2[[#This Row],[Counter Number]]="","",Table2[[#This Row],[Reduction Bus PM2.5 Emissions (tons/yr)]]/Table2[[#This Row],[Old Bus PM2.5 Emissions (tons/yr)]])</f>
        <v/>
      </c>
      <c r="BK56" s="193" t="str">
        <f>IF(Table2[[#This Row],[Counter Number]]="","",Table2[[#This Row],[Reduction Bus PM2.5 Emissions (tons/yr)]]*Table2[[#This Row],[Remaining Life:]])</f>
        <v/>
      </c>
      <c r="BL56" s="194" t="str">
        <f>IF(Table2[[#This Row],[Counter Number]]="","",IF(Table2[[#This Row],[Lifetime PM2.5 Reduction (tons)]]=0,"NA",Table2[[#This Row],[Upgrade Cost Per Unit]]/Table2[[#This Row],[Lifetime PM2.5 Reduction (tons)]]))</f>
        <v/>
      </c>
      <c r="BM56" s="179" t="str">
        <f>IF(Table2[[#This Row],[Counter Number]]="","",Table2[[#This Row],[Annual Miles Traveled:]]*VLOOKUP(Table2[[#This Row],[Engine Model Year:]],EF!$A$2:$G$40,5,FALSE))</f>
        <v/>
      </c>
      <c r="BN56" s="173" t="str">
        <f>IF(Table2[[#This Row],[Counter Number]]="","",Table2[[#This Row],[Annual Miles Traveled:]]*IF(Table2[[#This Row],[New Engine Fuel Type:]]="ULSD",VLOOKUP(Table2[[#This Row],[New Engine Model Year:]],EFTable[],5,FALSE),VLOOKUP(Table2[[#This Row],[New Engine Fuel Type:]],EFTable[],5,FALSE)))</f>
        <v/>
      </c>
      <c r="BO56" s="190" t="str">
        <f>IF(Table2[[#This Row],[Counter Number]]="","",Table2[[#This Row],[Old Bus HC Emissions (tons/yr)]]-Table2[[#This Row],[New Bus HC Emissions (tons/yr)]])</f>
        <v/>
      </c>
      <c r="BP56" s="188" t="str">
        <f>IF(Table2[[#This Row],[Counter Number]]="","",Table2[[#This Row],[Reduction Bus HC Emissions (tons/yr)]]/Table2[[#This Row],[Old Bus HC Emissions (tons/yr)]])</f>
        <v/>
      </c>
      <c r="BQ56" s="193" t="str">
        <f>IF(Table2[[#This Row],[Counter Number]]="","",Table2[[#This Row],[Reduction Bus HC Emissions (tons/yr)]]*Table2[[#This Row],[Remaining Life:]])</f>
        <v/>
      </c>
      <c r="BR56" s="194" t="str">
        <f>IF(Table2[[#This Row],[Counter Number]]="","",IF(Table2[[#This Row],[Lifetime HC Reduction (tons)]]=0,"NA",Table2[[#This Row],[Upgrade Cost Per Unit]]/Table2[[#This Row],[Lifetime HC Reduction (tons)]]))</f>
        <v/>
      </c>
      <c r="BS56" s="191" t="str">
        <f>IF(Table2[[#This Row],[Counter Number]]="","",Table2[[#This Row],[Annual Miles Traveled:]]*VLOOKUP(Table2[[#This Row],[Engine Model Year:]],EF!$A$2:$G$27,6,FALSE))</f>
        <v/>
      </c>
      <c r="BT56" s="173" t="str">
        <f>IF(Table2[[#This Row],[Counter Number]]="","",Table2[[#This Row],[Annual Miles Traveled:]]*IF(Table2[[#This Row],[New Engine Fuel Type:]]="ULSD",VLOOKUP(Table2[[#This Row],[New Engine Model Year:]],EFTable[],6,FALSE),VLOOKUP(Table2[[#This Row],[New Engine Fuel Type:]],EFTable[],6,FALSE)))</f>
        <v/>
      </c>
      <c r="BU56" s="190" t="str">
        <f>IF(Table2[[#This Row],[Counter Number]]="","",Table2[[#This Row],[Old Bus CO Emissions (tons/yr)]]-Table2[[#This Row],[New Bus CO Emissions (tons/yr)]])</f>
        <v/>
      </c>
      <c r="BV56" s="188" t="str">
        <f>IF(Table2[[#This Row],[Counter Number]]="","",Table2[[#This Row],[Reduction Bus CO Emissions (tons/yr)]]/Table2[[#This Row],[Old Bus CO Emissions (tons/yr)]])</f>
        <v/>
      </c>
      <c r="BW56" s="193" t="str">
        <f>IF(Table2[[#This Row],[Counter Number]]="","",Table2[[#This Row],[Reduction Bus CO Emissions (tons/yr)]]*Table2[[#This Row],[Remaining Life:]])</f>
        <v/>
      </c>
      <c r="BX56" s="194" t="str">
        <f>IF(Table2[[#This Row],[Counter Number]]="","",IF(Table2[[#This Row],[Lifetime CO Reduction (tons)]]=0,"NA",Table2[[#This Row],[Upgrade Cost Per Unit]]/Table2[[#This Row],[Lifetime CO Reduction (tons)]]))</f>
        <v/>
      </c>
      <c r="BY56" s="180" t="str">
        <f>IF(Table2[[#This Row],[Counter Number]]="","",Table2[[#This Row],[Old ULSD Used (gal):]]*VLOOKUP(Table2[[#This Row],[Engine Model Year:]],EF!$A$2:$G$27,7,FALSE))</f>
        <v/>
      </c>
      <c r="BZ5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6" s="195" t="str">
        <f>IF(Table2[[#This Row],[Counter Number]]="","",Table2[[#This Row],[Old Bus CO2 Emissions (tons/yr)]]-Table2[[#This Row],[New Bus CO2 Emissions (tons/yr)]])</f>
        <v/>
      </c>
      <c r="CB56" s="188" t="str">
        <f>IF(Table2[[#This Row],[Counter Number]]="","",Table2[[#This Row],[Reduction Bus CO2 Emissions (tons/yr)]]/Table2[[#This Row],[Old Bus CO2 Emissions (tons/yr)]])</f>
        <v/>
      </c>
      <c r="CC56" s="195" t="str">
        <f>IF(Table2[[#This Row],[Counter Number]]="","",Table2[[#This Row],[Reduction Bus CO2 Emissions (tons/yr)]]*Table2[[#This Row],[Remaining Life:]])</f>
        <v/>
      </c>
      <c r="CD56" s="194" t="str">
        <f>IF(Table2[[#This Row],[Counter Number]]="","",IF(Table2[[#This Row],[Lifetime CO2 Reduction (tons)]]=0,"NA",Table2[[#This Row],[Upgrade Cost Per Unit]]/Table2[[#This Row],[Lifetime CO2 Reduction (tons)]]))</f>
        <v/>
      </c>
      <c r="CE56" s="182" t="str">
        <f>IF(Table2[[#This Row],[Counter Number]]="","",IF(Table2[[#This Row],[New ULSD Used (gal):]]="",Table2[[#This Row],[Old ULSD Used (gal):]],Table2[[#This Row],[Old ULSD Used (gal):]]-Table2[[#This Row],[New ULSD Used (gal):]]))</f>
        <v/>
      </c>
      <c r="CF56" s="196" t="str">
        <f>IF(Table2[[#This Row],[Counter Number]]="","",Table2[[#This Row],[Diesel Fuel Reduction (gal/yr)]]/Table2[[#This Row],[Old ULSD Used (gal):]])</f>
        <v/>
      </c>
      <c r="CG56" s="197" t="str">
        <f>IF(Table2[[#This Row],[Counter Number]]="","",Table2[[#This Row],[Diesel Fuel Reduction (gal/yr)]]*Table2[[#This Row],[Remaining Life:]])</f>
        <v/>
      </c>
    </row>
    <row r="57" spans="1:85">
      <c r="A57" s="184" t="str">
        <f>IF(A56&lt;Application!$D$24,A56+1,"")</f>
        <v/>
      </c>
      <c r="B57" s="60" t="str">
        <f>IF(Table2[[#This Row],[Counter Number]]="","",Application!$D$16)</f>
        <v/>
      </c>
      <c r="C57" s="60" t="str">
        <f>IF(Table2[[#This Row],[Counter Number]]="","",Application!$D$14)</f>
        <v/>
      </c>
      <c r="D57" s="60" t="str">
        <f>IF(Table2[[#This Row],[Counter Number]]="","",Table1[[#This Row],[Old Bus Number]])</f>
        <v/>
      </c>
      <c r="E57" s="60" t="str">
        <f>IF(Table2[[#This Row],[Counter Number]]="","",Application!$D$15)</f>
        <v/>
      </c>
      <c r="F57" s="60" t="str">
        <f>IF(Table2[[#This Row],[Counter Number]]="","","On Highway")</f>
        <v/>
      </c>
      <c r="G57" s="60" t="str">
        <f>IF(Table2[[#This Row],[Counter Number]]="","",I57)</f>
        <v/>
      </c>
      <c r="H57" s="60" t="str">
        <f>IF(Table2[[#This Row],[Counter Number]]="","","Georgia")</f>
        <v/>
      </c>
      <c r="I57" s="60" t="str">
        <f>IF(Table2[[#This Row],[Counter Number]]="","",Application!$D$16)</f>
        <v/>
      </c>
      <c r="J57" s="60" t="str">
        <f>IF(Table2[[#This Row],[Counter Number]]="","",Application!$D$21)</f>
        <v/>
      </c>
      <c r="K57" s="60" t="str">
        <f>IF(Table2[[#This Row],[Counter Number]]="","",Application!$J$21)</f>
        <v/>
      </c>
      <c r="L57" s="60" t="str">
        <f>IF(Table2[[#This Row],[Counter Number]]="","","School Bus")</f>
        <v/>
      </c>
      <c r="M57" s="60" t="str">
        <f>IF(Table2[[#This Row],[Counter Number]]="","","School Bus")</f>
        <v/>
      </c>
      <c r="N57" s="60" t="str">
        <f>IF(Table2[[#This Row],[Counter Number]]="","",1)</f>
        <v/>
      </c>
      <c r="O57" s="60" t="str">
        <f>IF(Table2[[#This Row],[Counter Number]]="","",Table1[[#This Row],[Vehicle Identification Number(s):]])</f>
        <v/>
      </c>
      <c r="P57" s="60" t="str">
        <f>IF(Table2[[#This Row],[Counter Number]]="","",Table1[[#This Row],[Old Bus Manufacturer:]])</f>
        <v/>
      </c>
      <c r="Q57" s="60" t="str">
        <f>IF(Table2[[#This Row],[Counter Number]]="","",Table1[[#This Row],[Vehicle Model:]])</f>
        <v/>
      </c>
      <c r="R57" s="165" t="str">
        <f>IF(Table2[[#This Row],[Counter Number]]="","",Table1[[#This Row],[Vehicle Model Year:]])</f>
        <v/>
      </c>
      <c r="S57" s="60" t="str">
        <f>IF(Table2[[#This Row],[Counter Number]]="","",Table1[[#This Row],[Engine Serial Number(s):]])</f>
        <v/>
      </c>
      <c r="T57" s="60" t="str">
        <f>IF(Table2[[#This Row],[Counter Number]]="","",Table1[[#This Row],[Engine Make:]])</f>
        <v/>
      </c>
      <c r="U57" s="60" t="str">
        <f>IF(Table2[[#This Row],[Counter Number]]="","",Table1[[#This Row],[Engine Model:]])</f>
        <v/>
      </c>
      <c r="V57" s="165" t="str">
        <f>IF(Table2[[#This Row],[Counter Number]]="","",Table1[[#This Row],[Engine Model Year:]])</f>
        <v/>
      </c>
      <c r="W57" s="60" t="str">
        <f>IF(Table2[[#This Row],[Counter Number]]="","","NA")</f>
        <v/>
      </c>
      <c r="X57" s="165" t="str">
        <f>IF(Table2[[#This Row],[Counter Number]]="","",Table1[[#This Row],[Engine Horsepower (HP):]])</f>
        <v/>
      </c>
      <c r="Y57" s="165" t="str">
        <f>IF(Table2[[#This Row],[Counter Number]]="","",Table1[[#This Row],[Engine Cylinder Displacement (L):]]&amp;" L")</f>
        <v/>
      </c>
      <c r="Z57" s="165" t="str">
        <f>IF(Table2[[#This Row],[Counter Number]]="","",Table1[[#This Row],[Engine Number of Cylinders:]])</f>
        <v/>
      </c>
      <c r="AA57" s="166" t="str">
        <f>IF(Table2[[#This Row],[Counter Number]]="","",Table1[[#This Row],[Engine Family Name:]])</f>
        <v/>
      </c>
      <c r="AB57" s="60" t="str">
        <f>IF(Table2[[#This Row],[Counter Number]]="","","ULSD")</f>
        <v/>
      </c>
      <c r="AC57" s="167" t="str">
        <f>IF(Table2[[#This Row],[Counter Number]]="","",Table2[[#This Row],[Annual Miles Traveled:]]/Table1[[#This Row],[Old Fuel (mpg)]])</f>
        <v/>
      </c>
      <c r="AD57" s="60" t="str">
        <f>IF(Table2[[#This Row],[Counter Number]]="","","NA")</f>
        <v/>
      </c>
      <c r="AE57" s="168" t="str">
        <f>IF(Table2[[#This Row],[Counter Number]]="","",Table1[[#This Row],[Annual Miles Traveled]])</f>
        <v/>
      </c>
      <c r="AF57" s="169" t="str">
        <f>IF(Table2[[#This Row],[Counter Number]]="","",Table1[[#This Row],[Annual Idling Hours:]])</f>
        <v/>
      </c>
      <c r="AG57" s="60" t="str">
        <f>IF(Table2[[#This Row],[Counter Number]]="","","NA")</f>
        <v/>
      </c>
      <c r="AH57" s="165" t="str">
        <f>IF(Table2[[#This Row],[Counter Number]]="","",IF(Application!$J$25="Set Policy",Table1[[#This Row],[Remaining Life (years)         Set Policy]],Table1[[#This Row],[Remaining Life (years)               Case-by-Case]]))</f>
        <v/>
      </c>
      <c r="AI57" s="165" t="str">
        <f>IF(Table2[[#This Row],[Counter Number]]="","",IF(Application!$J$25="Case-by-Case","NA",Table2[[#This Row],[Fiscal Year of EPA Funds Used:]]+Table2[[#This Row],[Remaining Life:]]))</f>
        <v/>
      </c>
      <c r="AJ57" s="165"/>
      <c r="AK57" s="170" t="str">
        <f>IF(Table2[[#This Row],[Counter Number]]="","",Application!$D$14+1)</f>
        <v/>
      </c>
      <c r="AL57" s="60" t="str">
        <f>IF(Table2[[#This Row],[Counter Number]]="","","Vehicle Replacement")</f>
        <v/>
      </c>
      <c r="AM5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7" s="171" t="str">
        <f>IF(Table2[[#This Row],[Counter Number]]="","",Table1[[#This Row],[Cost of New Bus:]])</f>
        <v/>
      </c>
      <c r="AO57" s="60" t="str">
        <f>IF(Table2[[#This Row],[Counter Number]]="","","NA")</f>
        <v/>
      </c>
      <c r="AP57" s="165" t="str">
        <f>IF(Table2[[#This Row],[Counter Number]]="","",Table1[[#This Row],[New Engine Model Year:]])</f>
        <v/>
      </c>
      <c r="AQ57" s="60" t="str">
        <f>IF(Table2[[#This Row],[Counter Number]]="","","NA")</f>
        <v/>
      </c>
      <c r="AR57" s="165" t="str">
        <f>IF(Table2[[#This Row],[Counter Number]]="","",Table1[[#This Row],[New Engine Horsepower (HP):]])</f>
        <v/>
      </c>
      <c r="AS57" s="60" t="str">
        <f>IF(Table2[[#This Row],[Counter Number]]="","","NA")</f>
        <v/>
      </c>
      <c r="AT57" s="165" t="str">
        <f>IF(Table2[[#This Row],[Counter Number]]="","",Table1[[#This Row],[New Engine Cylinder Displacement (L):]]&amp;" L")</f>
        <v/>
      </c>
      <c r="AU57" s="114" t="str">
        <f>IF(Table2[[#This Row],[Counter Number]]="","",Table1[[#This Row],[New Engine Number of Cylinders:]])</f>
        <v/>
      </c>
      <c r="AV57" s="60" t="str">
        <f>IF(Table2[[#This Row],[Counter Number]]="","",Table1[[#This Row],[New Engine Family Name:]])</f>
        <v/>
      </c>
      <c r="AW5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7" s="60" t="str">
        <f>IF(Table2[[#This Row],[Counter Number]]="","","NA")</f>
        <v/>
      </c>
      <c r="AY57" s="172" t="str">
        <f>IF(Table2[[#This Row],[Counter Number]]="","",IF(Table2[[#This Row],[New Engine Fuel Type:]]="ULSD",Table1[[#This Row],[Annual Miles Traveled]]/Table1[[#This Row],[New Fuel (mpg) if Diesel]],""))</f>
        <v/>
      </c>
      <c r="AZ57" s="60"/>
      <c r="BA57" s="173" t="str">
        <f>IF(Table2[[#This Row],[Counter Number]]="","",Table2[[#This Row],[Annual Miles Traveled:]]*VLOOKUP(Table2[[#This Row],[Engine Model Year:]],EFTable[],3,FALSE))</f>
        <v/>
      </c>
      <c r="BB57" s="173" t="str">
        <f>IF(Table2[[#This Row],[Counter Number]]="","",Table2[[#This Row],[Annual Miles Traveled:]]*IF(Table2[[#This Row],[New Engine Fuel Type:]]="ULSD",VLOOKUP(Table2[[#This Row],[New Engine Model Year:]],EFTable[],3,FALSE),VLOOKUP(Table2[[#This Row],[New Engine Fuel Type:]],EFTable[],3,FALSE)))</f>
        <v/>
      </c>
      <c r="BC57" s="187" t="str">
        <f>IF(Table2[[#This Row],[Counter Number]]="","",Table2[[#This Row],[Old Bus NOx Emissions (tons/yr)]]-Table2[[#This Row],[New Bus NOx Emissions (tons/yr)]])</f>
        <v/>
      </c>
      <c r="BD57" s="188" t="str">
        <f>IF(Table2[[#This Row],[Counter Number]]="","",Table2[[#This Row],[Reduction Bus NOx Emissions (tons/yr)]]/Table2[[#This Row],[Old Bus NOx Emissions (tons/yr)]])</f>
        <v/>
      </c>
      <c r="BE57" s="175" t="str">
        <f>IF(Table2[[#This Row],[Counter Number]]="","",Table2[[#This Row],[Reduction Bus NOx Emissions (tons/yr)]]*Table2[[#This Row],[Remaining Life:]])</f>
        <v/>
      </c>
      <c r="BF57" s="189" t="str">
        <f>IF(Table2[[#This Row],[Counter Number]]="","",IF(Table2[[#This Row],[Lifetime NOx Reduction (tons)]]=0,"NA",Table2[[#This Row],[Upgrade Cost Per Unit]]/Table2[[#This Row],[Lifetime NOx Reduction (tons)]]))</f>
        <v/>
      </c>
      <c r="BG57" s="190" t="str">
        <f>IF(Table2[[#This Row],[Counter Number]]="","",Table2[[#This Row],[Annual Miles Traveled:]]*VLOOKUP(Table2[[#This Row],[Engine Model Year:]],EF!$A$2:$G$27,4,FALSE))</f>
        <v/>
      </c>
      <c r="BH57" s="173" t="str">
        <f>IF(Table2[[#This Row],[Counter Number]]="","",Table2[[#This Row],[Annual Miles Traveled:]]*IF(Table2[[#This Row],[New Engine Fuel Type:]]="ULSD",VLOOKUP(Table2[[#This Row],[New Engine Model Year:]],EFTable[],4,FALSE),VLOOKUP(Table2[[#This Row],[New Engine Fuel Type:]],EFTable[],4,FALSE)))</f>
        <v/>
      </c>
      <c r="BI57" s="191" t="str">
        <f>IF(Table2[[#This Row],[Counter Number]]="","",Table2[[#This Row],[Old Bus PM2.5 Emissions (tons/yr)]]-Table2[[#This Row],[New Bus PM2.5 Emissions (tons/yr)]])</f>
        <v/>
      </c>
      <c r="BJ57" s="192" t="str">
        <f>IF(Table2[[#This Row],[Counter Number]]="","",Table2[[#This Row],[Reduction Bus PM2.5 Emissions (tons/yr)]]/Table2[[#This Row],[Old Bus PM2.5 Emissions (tons/yr)]])</f>
        <v/>
      </c>
      <c r="BK57" s="193" t="str">
        <f>IF(Table2[[#This Row],[Counter Number]]="","",Table2[[#This Row],[Reduction Bus PM2.5 Emissions (tons/yr)]]*Table2[[#This Row],[Remaining Life:]])</f>
        <v/>
      </c>
      <c r="BL57" s="194" t="str">
        <f>IF(Table2[[#This Row],[Counter Number]]="","",IF(Table2[[#This Row],[Lifetime PM2.5 Reduction (tons)]]=0,"NA",Table2[[#This Row],[Upgrade Cost Per Unit]]/Table2[[#This Row],[Lifetime PM2.5 Reduction (tons)]]))</f>
        <v/>
      </c>
      <c r="BM57" s="179" t="str">
        <f>IF(Table2[[#This Row],[Counter Number]]="","",Table2[[#This Row],[Annual Miles Traveled:]]*VLOOKUP(Table2[[#This Row],[Engine Model Year:]],EF!$A$2:$G$40,5,FALSE))</f>
        <v/>
      </c>
      <c r="BN57" s="173" t="str">
        <f>IF(Table2[[#This Row],[Counter Number]]="","",Table2[[#This Row],[Annual Miles Traveled:]]*IF(Table2[[#This Row],[New Engine Fuel Type:]]="ULSD",VLOOKUP(Table2[[#This Row],[New Engine Model Year:]],EFTable[],5,FALSE),VLOOKUP(Table2[[#This Row],[New Engine Fuel Type:]],EFTable[],5,FALSE)))</f>
        <v/>
      </c>
      <c r="BO57" s="190" t="str">
        <f>IF(Table2[[#This Row],[Counter Number]]="","",Table2[[#This Row],[Old Bus HC Emissions (tons/yr)]]-Table2[[#This Row],[New Bus HC Emissions (tons/yr)]])</f>
        <v/>
      </c>
      <c r="BP57" s="188" t="str">
        <f>IF(Table2[[#This Row],[Counter Number]]="","",Table2[[#This Row],[Reduction Bus HC Emissions (tons/yr)]]/Table2[[#This Row],[Old Bus HC Emissions (tons/yr)]])</f>
        <v/>
      </c>
      <c r="BQ57" s="193" t="str">
        <f>IF(Table2[[#This Row],[Counter Number]]="","",Table2[[#This Row],[Reduction Bus HC Emissions (tons/yr)]]*Table2[[#This Row],[Remaining Life:]])</f>
        <v/>
      </c>
      <c r="BR57" s="194" t="str">
        <f>IF(Table2[[#This Row],[Counter Number]]="","",IF(Table2[[#This Row],[Lifetime HC Reduction (tons)]]=0,"NA",Table2[[#This Row],[Upgrade Cost Per Unit]]/Table2[[#This Row],[Lifetime HC Reduction (tons)]]))</f>
        <v/>
      </c>
      <c r="BS57" s="191" t="str">
        <f>IF(Table2[[#This Row],[Counter Number]]="","",Table2[[#This Row],[Annual Miles Traveled:]]*VLOOKUP(Table2[[#This Row],[Engine Model Year:]],EF!$A$2:$G$27,6,FALSE))</f>
        <v/>
      </c>
      <c r="BT57" s="173" t="str">
        <f>IF(Table2[[#This Row],[Counter Number]]="","",Table2[[#This Row],[Annual Miles Traveled:]]*IF(Table2[[#This Row],[New Engine Fuel Type:]]="ULSD",VLOOKUP(Table2[[#This Row],[New Engine Model Year:]],EFTable[],6,FALSE),VLOOKUP(Table2[[#This Row],[New Engine Fuel Type:]],EFTable[],6,FALSE)))</f>
        <v/>
      </c>
      <c r="BU57" s="190" t="str">
        <f>IF(Table2[[#This Row],[Counter Number]]="","",Table2[[#This Row],[Old Bus CO Emissions (tons/yr)]]-Table2[[#This Row],[New Bus CO Emissions (tons/yr)]])</f>
        <v/>
      </c>
      <c r="BV57" s="188" t="str">
        <f>IF(Table2[[#This Row],[Counter Number]]="","",Table2[[#This Row],[Reduction Bus CO Emissions (tons/yr)]]/Table2[[#This Row],[Old Bus CO Emissions (tons/yr)]])</f>
        <v/>
      </c>
      <c r="BW57" s="193" t="str">
        <f>IF(Table2[[#This Row],[Counter Number]]="","",Table2[[#This Row],[Reduction Bus CO Emissions (tons/yr)]]*Table2[[#This Row],[Remaining Life:]])</f>
        <v/>
      </c>
      <c r="BX57" s="194" t="str">
        <f>IF(Table2[[#This Row],[Counter Number]]="","",IF(Table2[[#This Row],[Lifetime CO Reduction (tons)]]=0,"NA",Table2[[#This Row],[Upgrade Cost Per Unit]]/Table2[[#This Row],[Lifetime CO Reduction (tons)]]))</f>
        <v/>
      </c>
      <c r="BY57" s="180" t="str">
        <f>IF(Table2[[#This Row],[Counter Number]]="","",Table2[[#This Row],[Old ULSD Used (gal):]]*VLOOKUP(Table2[[#This Row],[Engine Model Year:]],EF!$A$2:$G$27,7,FALSE))</f>
        <v/>
      </c>
      <c r="BZ5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7" s="195" t="str">
        <f>IF(Table2[[#This Row],[Counter Number]]="","",Table2[[#This Row],[Old Bus CO2 Emissions (tons/yr)]]-Table2[[#This Row],[New Bus CO2 Emissions (tons/yr)]])</f>
        <v/>
      </c>
      <c r="CB57" s="188" t="str">
        <f>IF(Table2[[#This Row],[Counter Number]]="","",Table2[[#This Row],[Reduction Bus CO2 Emissions (tons/yr)]]/Table2[[#This Row],[Old Bus CO2 Emissions (tons/yr)]])</f>
        <v/>
      </c>
      <c r="CC57" s="195" t="str">
        <f>IF(Table2[[#This Row],[Counter Number]]="","",Table2[[#This Row],[Reduction Bus CO2 Emissions (tons/yr)]]*Table2[[#This Row],[Remaining Life:]])</f>
        <v/>
      </c>
      <c r="CD57" s="194" t="str">
        <f>IF(Table2[[#This Row],[Counter Number]]="","",IF(Table2[[#This Row],[Lifetime CO2 Reduction (tons)]]=0,"NA",Table2[[#This Row],[Upgrade Cost Per Unit]]/Table2[[#This Row],[Lifetime CO2 Reduction (tons)]]))</f>
        <v/>
      </c>
      <c r="CE57" s="182" t="str">
        <f>IF(Table2[[#This Row],[Counter Number]]="","",IF(Table2[[#This Row],[New ULSD Used (gal):]]="",Table2[[#This Row],[Old ULSD Used (gal):]],Table2[[#This Row],[Old ULSD Used (gal):]]-Table2[[#This Row],[New ULSD Used (gal):]]))</f>
        <v/>
      </c>
      <c r="CF57" s="196" t="str">
        <f>IF(Table2[[#This Row],[Counter Number]]="","",Table2[[#This Row],[Diesel Fuel Reduction (gal/yr)]]/Table2[[#This Row],[Old ULSD Used (gal):]])</f>
        <v/>
      </c>
      <c r="CG57" s="197" t="str">
        <f>IF(Table2[[#This Row],[Counter Number]]="","",Table2[[#This Row],[Diesel Fuel Reduction (gal/yr)]]*Table2[[#This Row],[Remaining Life:]])</f>
        <v/>
      </c>
    </row>
    <row r="58" spans="1:85">
      <c r="A58" s="184" t="str">
        <f>IF(A57&lt;Application!$D$24,A57+1,"")</f>
        <v/>
      </c>
      <c r="B58" s="60" t="str">
        <f>IF(Table2[[#This Row],[Counter Number]]="","",Application!$D$16)</f>
        <v/>
      </c>
      <c r="C58" s="60" t="str">
        <f>IF(Table2[[#This Row],[Counter Number]]="","",Application!$D$14)</f>
        <v/>
      </c>
      <c r="D58" s="60" t="str">
        <f>IF(Table2[[#This Row],[Counter Number]]="","",Table1[[#This Row],[Old Bus Number]])</f>
        <v/>
      </c>
      <c r="E58" s="60" t="str">
        <f>IF(Table2[[#This Row],[Counter Number]]="","",Application!$D$15)</f>
        <v/>
      </c>
      <c r="F58" s="60" t="str">
        <f>IF(Table2[[#This Row],[Counter Number]]="","","On Highway")</f>
        <v/>
      </c>
      <c r="G58" s="60" t="str">
        <f>IF(Table2[[#This Row],[Counter Number]]="","",I58)</f>
        <v/>
      </c>
      <c r="H58" s="60" t="str">
        <f>IF(Table2[[#This Row],[Counter Number]]="","","Georgia")</f>
        <v/>
      </c>
      <c r="I58" s="60" t="str">
        <f>IF(Table2[[#This Row],[Counter Number]]="","",Application!$D$16)</f>
        <v/>
      </c>
      <c r="J58" s="60" t="str">
        <f>IF(Table2[[#This Row],[Counter Number]]="","",Application!$D$21)</f>
        <v/>
      </c>
      <c r="K58" s="60" t="str">
        <f>IF(Table2[[#This Row],[Counter Number]]="","",Application!$J$21)</f>
        <v/>
      </c>
      <c r="L58" s="60" t="str">
        <f>IF(Table2[[#This Row],[Counter Number]]="","","School Bus")</f>
        <v/>
      </c>
      <c r="M58" s="60" t="str">
        <f>IF(Table2[[#This Row],[Counter Number]]="","","School Bus")</f>
        <v/>
      </c>
      <c r="N58" s="60" t="str">
        <f>IF(Table2[[#This Row],[Counter Number]]="","",1)</f>
        <v/>
      </c>
      <c r="O58" s="60" t="str">
        <f>IF(Table2[[#This Row],[Counter Number]]="","",Table1[[#This Row],[Vehicle Identification Number(s):]])</f>
        <v/>
      </c>
      <c r="P58" s="60" t="str">
        <f>IF(Table2[[#This Row],[Counter Number]]="","",Table1[[#This Row],[Old Bus Manufacturer:]])</f>
        <v/>
      </c>
      <c r="Q58" s="60" t="str">
        <f>IF(Table2[[#This Row],[Counter Number]]="","",Table1[[#This Row],[Vehicle Model:]])</f>
        <v/>
      </c>
      <c r="R58" s="165" t="str">
        <f>IF(Table2[[#This Row],[Counter Number]]="","",Table1[[#This Row],[Vehicle Model Year:]])</f>
        <v/>
      </c>
      <c r="S58" s="60" t="str">
        <f>IF(Table2[[#This Row],[Counter Number]]="","",Table1[[#This Row],[Engine Serial Number(s):]])</f>
        <v/>
      </c>
      <c r="T58" s="60" t="str">
        <f>IF(Table2[[#This Row],[Counter Number]]="","",Table1[[#This Row],[Engine Make:]])</f>
        <v/>
      </c>
      <c r="U58" s="60" t="str">
        <f>IF(Table2[[#This Row],[Counter Number]]="","",Table1[[#This Row],[Engine Model:]])</f>
        <v/>
      </c>
      <c r="V58" s="165" t="str">
        <f>IF(Table2[[#This Row],[Counter Number]]="","",Table1[[#This Row],[Engine Model Year:]])</f>
        <v/>
      </c>
      <c r="W58" s="60" t="str">
        <f>IF(Table2[[#This Row],[Counter Number]]="","","NA")</f>
        <v/>
      </c>
      <c r="X58" s="165" t="str">
        <f>IF(Table2[[#This Row],[Counter Number]]="","",Table1[[#This Row],[Engine Horsepower (HP):]])</f>
        <v/>
      </c>
      <c r="Y58" s="165" t="str">
        <f>IF(Table2[[#This Row],[Counter Number]]="","",Table1[[#This Row],[Engine Cylinder Displacement (L):]]&amp;" L")</f>
        <v/>
      </c>
      <c r="Z58" s="165" t="str">
        <f>IF(Table2[[#This Row],[Counter Number]]="","",Table1[[#This Row],[Engine Number of Cylinders:]])</f>
        <v/>
      </c>
      <c r="AA58" s="166" t="str">
        <f>IF(Table2[[#This Row],[Counter Number]]="","",Table1[[#This Row],[Engine Family Name:]])</f>
        <v/>
      </c>
      <c r="AB58" s="60" t="str">
        <f>IF(Table2[[#This Row],[Counter Number]]="","","ULSD")</f>
        <v/>
      </c>
      <c r="AC58" s="167" t="str">
        <f>IF(Table2[[#This Row],[Counter Number]]="","",Table2[[#This Row],[Annual Miles Traveled:]]/Table1[[#This Row],[Old Fuel (mpg)]])</f>
        <v/>
      </c>
      <c r="AD58" s="60" t="str">
        <f>IF(Table2[[#This Row],[Counter Number]]="","","NA")</f>
        <v/>
      </c>
      <c r="AE58" s="168" t="str">
        <f>IF(Table2[[#This Row],[Counter Number]]="","",Table1[[#This Row],[Annual Miles Traveled]])</f>
        <v/>
      </c>
      <c r="AF58" s="169" t="str">
        <f>IF(Table2[[#This Row],[Counter Number]]="","",Table1[[#This Row],[Annual Idling Hours:]])</f>
        <v/>
      </c>
      <c r="AG58" s="60" t="str">
        <f>IF(Table2[[#This Row],[Counter Number]]="","","NA")</f>
        <v/>
      </c>
      <c r="AH58" s="165" t="str">
        <f>IF(Table2[[#This Row],[Counter Number]]="","",IF(Application!$J$25="Set Policy",Table1[[#This Row],[Remaining Life (years)         Set Policy]],Table1[[#This Row],[Remaining Life (years)               Case-by-Case]]))</f>
        <v/>
      </c>
      <c r="AI58" s="165" t="str">
        <f>IF(Table2[[#This Row],[Counter Number]]="","",IF(Application!$J$25="Case-by-Case","NA",Table2[[#This Row],[Fiscal Year of EPA Funds Used:]]+Table2[[#This Row],[Remaining Life:]]))</f>
        <v/>
      </c>
      <c r="AJ58" s="165"/>
      <c r="AK58" s="170" t="str">
        <f>IF(Table2[[#This Row],[Counter Number]]="","",Application!$D$14+1)</f>
        <v/>
      </c>
      <c r="AL58" s="60" t="str">
        <f>IF(Table2[[#This Row],[Counter Number]]="","","Vehicle Replacement")</f>
        <v/>
      </c>
      <c r="AM5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8" s="171" t="str">
        <f>IF(Table2[[#This Row],[Counter Number]]="","",Table1[[#This Row],[Cost of New Bus:]])</f>
        <v/>
      </c>
      <c r="AO58" s="60" t="str">
        <f>IF(Table2[[#This Row],[Counter Number]]="","","NA")</f>
        <v/>
      </c>
      <c r="AP58" s="165" t="str">
        <f>IF(Table2[[#This Row],[Counter Number]]="","",Table1[[#This Row],[New Engine Model Year:]])</f>
        <v/>
      </c>
      <c r="AQ58" s="60" t="str">
        <f>IF(Table2[[#This Row],[Counter Number]]="","","NA")</f>
        <v/>
      </c>
      <c r="AR58" s="165" t="str">
        <f>IF(Table2[[#This Row],[Counter Number]]="","",Table1[[#This Row],[New Engine Horsepower (HP):]])</f>
        <v/>
      </c>
      <c r="AS58" s="60" t="str">
        <f>IF(Table2[[#This Row],[Counter Number]]="","","NA")</f>
        <v/>
      </c>
      <c r="AT58" s="165" t="str">
        <f>IF(Table2[[#This Row],[Counter Number]]="","",Table1[[#This Row],[New Engine Cylinder Displacement (L):]]&amp;" L")</f>
        <v/>
      </c>
      <c r="AU58" s="114" t="str">
        <f>IF(Table2[[#This Row],[Counter Number]]="","",Table1[[#This Row],[New Engine Number of Cylinders:]])</f>
        <v/>
      </c>
      <c r="AV58" s="60" t="str">
        <f>IF(Table2[[#This Row],[Counter Number]]="","",Table1[[#This Row],[New Engine Family Name:]])</f>
        <v/>
      </c>
      <c r="AW5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8" s="60" t="str">
        <f>IF(Table2[[#This Row],[Counter Number]]="","","NA")</f>
        <v/>
      </c>
      <c r="AY58" s="172" t="str">
        <f>IF(Table2[[#This Row],[Counter Number]]="","",IF(Table2[[#This Row],[New Engine Fuel Type:]]="ULSD",Table1[[#This Row],[Annual Miles Traveled]]/Table1[[#This Row],[New Fuel (mpg) if Diesel]],""))</f>
        <v/>
      </c>
      <c r="AZ58" s="60"/>
      <c r="BA58" s="173" t="str">
        <f>IF(Table2[[#This Row],[Counter Number]]="","",Table2[[#This Row],[Annual Miles Traveled:]]*VLOOKUP(Table2[[#This Row],[Engine Model Year:]],EFTable[],3,FALSE))</f>
        <v/>
      </c>
      <c r="BB58" s="173" t="str">
        <f>IF(Table2[[#This Row],[Counter Number]]="","",Table2[[#This Row],[Annual Miles Traveled:]]*IF(Table2[[#This Row],[New Engine Fuel Type:]]="ULSD",VLOOKUP(Table2[[#This Row],[New Engine Model Year:]],EFTable[],3,FALSE),VLOOKUP(Table2[[#This Row],[New Engine Fuel Type:]],EFTable[],3,FALSE)))</f>
        <v/>
      </c>
      <c r="BC58" s="187" t="str">
        <f>IF(Table2[[#This Row],[Counter Number]]="","",Table2[[#This Row],[Old Bus NOx Emissions (tons/yr)]]-Table2[[#This Row],[New Bus NOx Emissions (tons/yr)]])</f>
        <v/>
      </c>
      <c r="BD58" s="188" t="str">
        <f>IF(Table2[[#This Row],[Counter Number]]="","",Table2[[#This Row],[Reduction Bus NOx Emissions (tons/yr)]]/Table2[[#This Row],[Old Bus NOx Emissions (tons/yr)]])</f>
        <v/>
      </c>
      <c r="BE58" s="175" t="str">
        <f>IF(Table2[[#This Row],[Counter Number]]="","",Table2[[#This Row],[Reduction Bus NOx Emissions (tons/yr)]]*Table2[[#This Row],[Remaining Life:]])</f>
        <v/>
      </c>
      <c r="BF58" s="189" t="str">
        <f>IF(Table2[[#This Row],[Counter Number]]="","",IF(Table2[[#This Row],[Lifetime NOx Reduction (tons)]]=0,"NA",Table2[[#This Row],[Upgrade Cost Per Unit]]/Table2[[#This Row],[Lifetime NOx Reduction (tons)]]))</f>
        <v/>
      </c>
      <c r="BG58" s="190" t="str">
        <f>IF(Table2[[#This Row],[Counter Number]]="","",Table2[[#This Row],[Annual Miles Traveled:]]*VLOOKUP(Table2[[#This Row],[Engine Model Year:]],EF!$A$2:$G$27,4,FALSE))</f>
        <v/>
      </c>
      <c r="BH58" s="173" t="str">
        <f>IF(Table2[[#This Row],[Counter Number]]="","",Table2[[#This Row],[Annual Miles Traveled:]]*IF(Table2[[#This Row],[New Engine Fuel Type:]]="ULSD",VLOOKUP(Table2[[#This Row],[New Engine Model Year:]],EFTable[],4,FALSE),VLOOKUP(Table2[[#This Row],[New Engine Fuel Type:]],EFTable[],4,FALSE)))</f>
        <v/>
      </c>
      <c r="BI58" s="191" t="str">
        <f>IF(Table2[[#This Row],[Counter Number]]="","",Table2[[#This Row],[Old Bus PM2.5 Emissions (tons/yr)]]-Table2[[#This Row],[New Bus PM2.5 Emissions (tons/yr)]])</f>
        <v/>
      </c>
      <c r="BJ58" s="192" t="str">
        <f>IF(Table2[[#This Row],[Counter Number]]="","",Table2[[#This Row],[Reduction Bus PM2.5 Emissions (tons/yr)]]/Table2[[#This Row],[Old Bus PM2.5 Emissions (tons/yr)]])</f>
        <v/>
      </c>
      <c r="BK58" s="193" t="str">
        <f>IF(Table2[[#This Row],[Counter Number]]="","",Table2[[#This Row],[Reduction Bus PM2.5 Emissions (tons/yr)]]*Table2[[#This Row],[Remaining Life:]])</f>
        <v/>
      </c>
      <c r="BL58" s="194" t="str">
        <f>IF(Table2[[#This Row],[Counter Number]]="","",IF(Table2[[#This Row],[Lifetime PM2.5 Reduction (tons)]]=0,"NA",Table2[[#This Row],[Upgrade Cost Per Unit]]/Table2[[#This Row],[Lifetime PM2.5 Reduction (tons)]]))</f>
        <v/>
      </c>
      <c r="BM58" s="179" t="str">
        <f>IF(Table2[[#This Row],[Counter Number]]="","",Table2[[#This Row],[Annual Miles Traveled:]]*VLOOKUP(Table2[[#This Row],[Engine Model Year:]],EF!$A$2:$G$40,5,FALSE))</f>
        <v/>
      </c>
      <c r="BN58" s="173" t="str">
        <f>IF(Table2[[#This Row],[Counter Number]]="","",Table2[[#This Row],[Annual Miles Traveled:]]*IF(Table2[[#This Row],[New Engine Fuel Type:]]="ULSD",VLOOKUP(Table2[[#This Row],[New Engine Model Year:]],EFTable[],5,FALSE),VLOOKUP(Table2[[#This Row],[New Engine Fuel Type:]],EFTable[],5,FALSE)))</f>
        <v/>
      </c>
      <c r="BO58" s="190" t="str">
        <f>IF(Table2[[#This Row],[Counter Number]]="","",Table2[[#This Row],[Old Bus HC Emissions (tons/yr)]]-Table2[[#This Row],[New Bus HC Emissions (tons/yr)]])</f>
        <v/>
      </c>
      <c r="BP58" s="188" t="str">
        <f>IF(Table2[[#This Row],[Counter Number]]="","",Table2[[#This Row],[Reduction Bus HC Emissions (tons/yr)]]/Table2[[#This Row],[Old Bus HC Emissions (tons/yr)]])</f>
        <v/>
      </c>
      <c r="BQ58" s="193" t="str">
        <f>IF(Table2[[#This Row],[Counter Number]]="","",Table2[[#This Row],[Reduction Bus HC Emissions (tons/yr)]]*Table2[[#This Row],[Remaining Life:]])</f>
        <v/>
      </c>
      <c r="BR58" s="194" t="str">
        <f>IF(Table2[[#This Row],[Counter Number]]="","",IF(Table2[[#This Row],[Lifetime HC Reduction (tons)]]=0,"NA",Table2[[#This Row],[Upgrade Cost Per Unit]]/Table2[[#This Row],[Lifetime HC Reduction (tons)]]))</f>
        <v/>
      </c>
      <c r="BS58" s="191" t="str">
        <f>IF(Table2[[#This Row],[Counter Number]]="","",Table2[[#This Row],[Annual Miles Traveled:]]*VLOOKUP(Table2[[#This Row],[Engine Model Year:]],EF!$A$2:$G$27,6,FALSE))</f>
        <v/>
      </c>
      <c r="BT58" s="173" t="str">
        <f>IF(Table2[[#This Row],[Counter Number]]="","",Table2[[#This Row],[Annual Miles Traveled:]]*IF(Table2[[#This Row],[New Engine Fuel Type:]]="ULSD",VLOOKUP(Table2[[#This Row],[New Engine Model Year:]],EFTable[],6,FALSE),VLOOKUP(Table2[[#This Row],[New Engine Fuel Type:]],EFTable[],6,FALSE)))</f>
        <v/>
      </c>
      <c r="BU58" s="190" t="str">
        <f>IF(Table2[[#This Row],[Counter Number]]="","",Table2[[#This Row],[Old Bus CO Emissions (tons/yr)]]-Table2[[#This Row],[New Bus CO Emissions (tons/yr)]])</f>
        <v/>
      </c>
      <c r="BV58" s="188" t="str">
        <f>IF(Table2[[#This Row],[Counter Number]]="","",Table2[[#This Row],[Reduction Bus CO Emissions (tons/yr)]]/Table2[[#This Row],[Old Bus CO Emissions (tons/yr)]])</f>
        <v/>
      </c>
      <c r="BW58" s="193" t="str">
        <f>IF(Table2[[#This Row],[Counter Number]]="","",Table2[[#This Row],[Reduction Bus CO Emissions (tons/yr)]]*Table2[[#This Row],[Remaining Life:]])</f>
        <v/>
      </c>
      <c r="BX58" s="194" t="str">
        <f>IF(Table2[[#This Row],[Counter Number]]="","",IF(Table2[[#This Row],[Lifetime CO Reduction (tons)]]=0,"NA",Table2[[#This Row],[Upgrade Cost Per Unit]]/Table2[[#This Row],[Lifetime CO Reduction (tons)]]))</f>
        <v/>
      </c>
      <c r="BY58" s="180" t="str">
        <f>IF(Table2[[#This Row],[Counter Number]]="","",Table2[[#This Row],[Old ULSD Used (gal):]]*VLOOKUP(Table2[[#This Row],[Engine Model Year:]],EF!$A$2:$G$27,7,FALSE))</f>
        <v/>
      </c>
      <c r="BZ5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8" s="195" t="str">
        <f>IF(Table2[[#This Row],[Counter Number]]="","",Table2[[#This Row],[Old Bus CO2 Emissions (tons/yr)]]-Table2[[#This Row],[New Bus CO2 Emissions (tons/yr)]])</f>
        <v/>
      </c>
      <c r="CB58" s="188" t="str">
        <f>IF(Table2[[#This Row],[Counter Number]]="","",Table2[[#This Row],[Reduction Bus CO2 Emissions (tons/yr)]]/Table2[[#This Row],[Old Bus CO2 Emissions (tons/yr)]])</f>
        <v/>
      </c>
      <c r="CC58" s="195" t="str">
        <f>IF(Table2[[#This Row],[Counter Number]]="","",Table2[[#This Row],[Reduction Bus CO2 Emissions (tons/yr)]]*Table2[[#This Row],[Remaining Life:]])</f>
        <v/>
      </c>
      <c r="CD58" s="194" t="str">
        <f>IF(Table2[[#This Row],[Counter Number]]="","",IF(Table2[[#This Row],[Lifetime CO2 Reduction (tons)]]=0,"NA",Table2[[#This Row],[Upgrade Cost Per Unit]]/Table2[[#This Row],[Lifetime CO2 Reduction (tons)]]))</f>
        <v/>
      </c>
      <c r="CE58" s="182" t="str">
        <f>IF(Table2[[#This Row],[Counter Number]]="","",IF(Table2[[#This Row],[New ULSD Used (gal):]]="",Table2[[#This Row],[Old ULSD Used (gal):]],Table2[[#This Row],[Old ULSD Used (gal):]]-Table2[[#This Row],[New ULSD Used (gal):]]))</f>
        <v/>
      </c>
      <c r="CF58" s="196" t="str">
        <f>IF(Table2[[#This Row],[Counter Number]]="","",Table2[[#This Row],[Diesel Fuel Reduction (gal/yr)]]/Table2[[#This Row],[Old ULSD Used (gal):]])</f>
        <v/>
      </c>
      <c r="CG58" s="197" t="str">
        <f>IF(Table2[[#This Row],[Counter Number]]="","",Table2[[#This Row],[Diesel Fuel Reduction (gal/yr)]]*Table2[[#This Row],[Remaining Life:]])</f>
        <v/>
      </c>
    </row>
    <row r="59" spans="1:85">
      <c r="A59" s="184" t="str">
        <f>IF(A58&lt;Application!$D$24,A58+1,"")</f>
        <v/>
      </c>
      <c r="B59" s="60" t="str">
        <f>IF(Table2[[#This Row],[Counter Number]]="","",Application!$D$16)</f>
        <v/>
      </c>
      <c r="C59" s="60" t="str">
        <f>IF(Table2[[#This Row],[Counter Number]]="","",Application!$D$14)</f>
        <v/>
      </c>
      <c r="D59" s="60" t="str">
        <f>IF(Table2[[#This Row],[Counter Number]]="","",Table1[[#This Row],[Old Bus Number]])</f>
        <v/>
      </c>
      <c r="E59" s="60" t="str">
        <f>IF(Table2[[#This Row],[Counter Number]]="","",Application!$D$15)</f>
        <v/>
      </c>
      <c r="F59" s="60" t="str">
        <f>IF(Table2[[#This Row],[Counter Number]]="","","On Highway")</f>
        <v/>
      </c>
      <c r="G59" s="60" t="str">
        <f>IF(Table2[[#This Row],[Counter Number]]="","",I59)</f>
        <v/>
      </c>
      <c r="H59" s="60" t="str">
        <f>IF(Table2[[#This Row],[Counter Number]]="","","Georgia")</f>
        <v/>
      </c>
      <c r="I59" s="60" t="str">
        <f>IF(Table2[[#This Row],[Counter Number]]="","",Application!$D$16)</f>
        <v/>
      </c>
      <c r="J59" s="60" t="str">
        <f>IF(Table2[[#This Row],[Counter Number]]="","",Application!$D$21)</f>
        <v/>
      </c>
      <c r="K59" s="60" t="str">
        <f>IF(Table2[[#This Row],[Counter Number]]="","",Application!$J$21)</f>
        <v/>
      </c>
      <c r="L59" s="60" t="str">
        <f>IF(Table2[[#This Row],[Counter Number]]="","","School Bus")</f>
        <v/>
      </c>
      <c r="M59" s="60" t="str">
        <f>IF(Table2[[#This Row],[Counter Number]]="","","School Bus")</f>
        <v/>
      </c>
      <c r="N59" s="60" t="str">
        <f>IF(Table2[[#This Row],[Counter Number]]="","",1)</f>
        <v/>
      </c>
      <c r="O59" s="60" t="str">
        <f>IF(Table2[[#This Row],[Counter Number]]="","",Table1[[#This Row],[Vehicle Identification Number(s):]])</f>
        <v/>
      </c>
      <c r="P59" s="60" t="str">
        <f>IF(Table2[[#This Row],[Counter Number]]="","",Table1[[#This Row],[Old Bus Manufacturer:]])</f>
        <v/>
      </c>
      <c r="Q59" s="60" t="str">
        <f>IF(Table2[[#This Row],[Counter Number]]="","",Table1[[#This Row],[Vehicle Model:]])</f>
        <v/>
      </c>
      <c r="R59" s="165" t="str">
        <f>IF(Table2[[#This Row],[Counter Number]]="","",Table1[[#This Row],[Vehicle Model Year:]])</f>
        <v/>
      </c>
      <c r="S59" s="60" t="str">
        <f>IF(Table2[[#This Row],[Counter Number]]="","",Table1[[#This Row],[Engine Serial Number(s):]])</f>
        <v/>
      </c>
      <c r="T59" s="60" t="str">
        <f>IF(Table2[[#This Row],[Counter Number]]="","",Table1[[#This Row],[Engine Make:]])</f>
        <v/>
      </c>
      <c r="U59" s="60" t="str">
        <f>IF(Table2[[#This Row],[Counter Number]]="","",Table1[[#This Row],[Engine Model:]])</f>
        <v/>
      </c>
      <c r="V59" s="165" t="str">
        <f>IF(Table2[[#This Row],[Counter Number]]="","",Table1[[#This Row],[Engine Model Year:]])</f>
        <v/>
      </c>
      <c r="W59" s="60" t="str">
        <f>IF(Table2[[#This Row],[Counter Number]]="","","NA")</f>
        <v/>
      </c>
      <c r="X59" s="165" t="str">
        <f>IF(Table2[[#This Row],[Counter Number]]="","",Table1[[#This Row],[Engine Horsepower (HP):]])</f>
        <v/>
      </c>
      <c r="Y59" s="165" t="str">
        <f>IF(Table2[[#This Row],[Counter Number]]="","",Table1[[#This Row],[Engine Cylinder Displacement (L):]]&amp;" L")</f>
        <v/>
      </c>
      <c r="Z59" s="165" t="str">
        <f>IF(Table2[[#This Row],[Counter Number]]="","",Table1[[#This Row],[Engine Number of Cylinders:]])</f>
        <v/>
      </c>
      <c r="AA59" s="166" t="str">
        <f>IF(Table2[[#This Row],[Counter Number]]="","",Table1[[#This Row],[Engine Family Name:]])</f>
        <v/>
      </c>
      <c r="AB59" s="60" t="str">
        <f>IF(Table2[[#This Row],[Counter Number]]="","","ULSD")</f>
        <v/>
      </c>
      <c r="AC59" s="167" t="str">
        <f>IF(Table2[[#This Row],[Counter Number]]="","",Table2[[#This Row],[Annual Miles Traveled:]]/Table1[[#This Row],[Old Fuel (mpg)]])</f>
        <v/>
      </c>
      <c r="AD59" s="60" t="str">
        <f>IF(Table2[[#This Row],[Counter Number]]="","","NA")</f>
        <v/>
      </c>
      <c r="AE59" s="168" t="str">
        <f>IF(Table2[[#This Row],[Counter Number]]="","",Table1[[#This Row],[Annual Miles Traveled]])</f>
        <v/>
      </c>
      <c r="AF59" s="169" t="str">
        <f>IF(Table2[[#This Row],[Counter Number]]="","",Table1[[#This Row],[Annual Idling Hours:]])</f>
        <v/>
      </c>
      <c r="AG59" s="60" t="str">
        <f>IF(Table2[[#This Row],[Counter Number]]="","","NA")</f>
        <v/>
      </c>
      <c r="AH59" s="165" t="str">
        <f>IF(Table2[[#This Row],[Counter Number]]="","",IF(Application!$J$25="Set Policy",Table1[[#This Row],[Remaining Life (years)         Set Policy]],Table1[[#This Row],[Remaining Life (years)               Case-by-Case]]))</f>
        <v/>
      </c>
      <c r="AI59" s="165" t="str">
        <f>IF(Table2[[#This Row],[Counter Number]]="","",IF(Application!$J$25="Case-by-Case","NA",Table2[[#This Row],[Fiscal Year of EPA Funds Used:]]+Table2[[#This Row],[Remaining Life:]]))</f>
        <v/>
      </c>
      <c r="AJ59" s="165"/>
      <c r="AK59" s="170" t="str">
        <f>IF(Table2[[#This Row],[Counter Number]]="","",Application!$D$14+1)</f>
        <v/>
      </c>
      <c r="AL59" s="60" t="str">
        <f>IF(Table2[[#This Row],[Counter Number]]="","","Vehicle Replacement")</f>
        <v/>
      </c>
      <c r="AM5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9" s="171" t="str">
        <f>IF(Table2[[#This Row],[Counter Number]]="","",Table1[[#This Row],[Cost of New Bus:]])</f>
        <v/>
      </c>
      <c r="AO59" s="60" t="str">
        <f>IF(Table2[[#This Row],[Counter Number]]="","","NA")</f>
        <v/>
      </c>
      <c r="AP59" s="165" t="str">
        <f>IF(Table2[[#This Row],[Counter Number]]="","",Table1[[#This Row],[New Engine Model Year:]])</f>
        <v/>
      </c>
      <c r="AQ59" s="60" t="str">
        <f>IF(Table2[[#This Row],[Counter Number]]="","","NA")</f>
        <v/>
      </c>
      <c r="AR59" s="165" t="str">
        <f>IF(Table2[[#This Row],[Counter Number]]="","",Table1[[#This Row],[New Engine Horsepower (HP):]])</f>
        <v/>
      </c>
      <c r="AS59" s="60" t="str">
        <f>IF(Table2[[#This Row],[Counter Number]]="","","NA")</f>
        <v/>
      </c>
      <c r="AT59" s="165" t="str">
        <f>IF(Table2[[#This Row],[Counter Number]]="","",Table1[[#This Row],[New Engine Cylinder Displacement (L):]]&amp;" L")</f>
        <v/>
      </c>
      <c r="AU59" s="114" t="str">
        <f>IF(Table2[[#This Row],[Counter Number]]="","",Table1[[#This Row],[New Engine Number of Cylinders:]])</f>
        <v/>
      </c>
      <c r="AV59" s="60" t="str">
        <f>IF(Table2[[#This Row],[Counter Number]]="","",Table1[[#This Row],[New Engine Family Name:]])</f>
        <v/>
      </c>
      <c r="AW5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9" s="60" t="str">
        <f>IF(Table2[[#This Row],[Counter Number]]="","","NA")</f>
        <v/>
      </c>
      <c r="AY59" s="172" t="str">
        <f>IF(Table2[[#This Row],[Counter Number]]="","",IF(Table2[[#This Row],[New Engine Fuel Type:]]="ULSD",Table1[[#This Row],[Annual Miles Traveled]]/Table1[[#This Row],[New Fuel (mpg) if Diesel]],""))</f>
        <v/>
      </c>
      <c r="AZ59" s="60"/>
      <c r="BA59" s="173" t="str">
        <f>IF(Table2[[#This Row],[Counter Number]]="","",Table2[[#This Row],[Annual Miles Traveled:]]*VLOOKUP(Table2[[#This Row],[Engine Model Year:]],EFTable[],3,FALSE))</f>
        <v/>
      </c>
      <c r="BB59" s="173" t="str">
        <f>IF(Table2[[#This Row],[Counter Number]]="","",Table2[[#This Row],[Annual Miles Traveled:]]*IF(Table2[[#This Row],[New Engine Fuel Type:]]="ULSD",VLOOKUP(Table2[[#This Row],[New Engine Model Year:]],EFTable[],3,FALSE),VLOOKUP(Table2[[#This Row],[New Engine Fuel Type:]],EFTable[],3,FALSE)))</f>
        <v/>
      </c>
      <c r="BC59" s="187" t="str">
        <f>IF(Table2[[#This Row],[Counter Number]]="","",Table2[[#This Row],[Old Bus NOx Emissions (tons/yr)]]-Table2[[#This Row],[New Bus NOx Emissions (tons/yr)]])</f>
        <v/>
      </c>
      <c r="BD59" s="188" t="str">
        <f>IF(Table2[[#This Row],[Counter Number]]="","",Table2[[#This Row],[Reduction Bus NOx Emissions (tons/yr)]]/Table2[[#This Row],[Old Bus NOx Emissions (tons/yr)]])</f>
        <v/>
      </c>
      <c r="BE59" s="175" t="str">
        <f>IF(Table2[[#This Row],[Counter Number]]="","",Table2[[#This Row],[Reduction Bus NOx Emissions (tons/yr)]]*Table2[[#This Row],[Remaining Life:]])</f>
        <v/>
      </c>
      <c r="BF59" s="189" t="str">
        <f>IF(Table2[[#This Row],[Counter Number]]="","",IF(Table2[[#This Row],[Lifetime NOx Reduction (tons)]]=0,"NA",Table2[[#This Row],[Upgrade Cost Per Unit]]/Table2[[#This Row],[Lifetime NOx Reduction (tons)]]))</f>
        <v/>
      </c>
      <c r="BG59" s="190" t="str">
        <f>IF(Table2[[#This Row],[Counter Number]]="","",Table2[[#This Row],[Annual Miles Traveled:]]*VLOOKUP(Table2[[#This Row],[Engine Model Year:]],EF!$A$2:$G$27,4,FALSE))</f>
        <v/>
      </c>
      <c r="BH59" s="173" t="str">
        <f>IF(Table2[[#This Row],[Counter Number]]="","",Table2[[#This Row],[Annual Miles Traveled:]]*IF(Table2[[#This Row],[New Engine Fuel Type:]]="ULSD",VLOOKUP(Table2[[#This Row],[New Engine Model Year:]],EFTable[],4,FALSE),VLOOKUP(Table2[[#This Row],[New Engine Fuel Type:]],EFTable[],4,FALSE)))</f>
        <v/>
      </c>
      <c r="BI59" s="191" t="str">
        <f>IF(Table2[[#This Row],[Counter Number]]="","",Table2[[#This Row],[Old Bus PM2.5 Emissions (tons/yr)]]-Table2[[#This Row],[New Bus PM2.5 Emissions (tons/yr)]])</f>
        <v/>
      </c>
      <c r="BJ59" s="192" t="str">
        <f>IF(Table2[[#This Row],[Counter Number]]="","",Table2[[#This Row],[Reduction Bus PM2.5 Emissions (tons/yr)]]/Table2[[#This Row],[Old Bus PM2.5 Emissions (tons/yr)]])</f>
        <v/>
      </c>
      <c r="BK59" s="193" t="str">
        <f>IF(Table2[[#This Row],[Counter Number]]="","",Table2[[#This Row],[Reduction Bus PM2.5 Emissions (tons/yr)]]*Table2[[#This Row],[Remaining Life:]])</f>
        <v/>
      </c>
      <c r="BL59" s="194" t="str">
        <f>IF(Table2[[#This Row],[Counter Number]]="","",IF(Table2[[#This Row],[Lifetime PM2.5 Reduction (tons)]]=0,"NA",Table2[[#This Row],[Upgrade Cost Per Unit]]/Table2[[#This Row],[Lifetime PM2.5 Reduction (tons)]]))</f>
        <v/>
      </c>
      <c r="BM59" s="179" t="str">
        <f>IF(Table2[[#This Row],[Counter Number]]="","",Table2[[#This Row],[Annual Miles Traveled:]]*VLOOKUP(Table2[[#This Row],[Engine Model Year:]],EF!$A$2:$G$40,5,FALSE))</f>
        <v/>
      </c>
      <c r="BN59" s="173" t="str">
        <f>IF(Table2[[#This Row],[Counter Number]]="","",Table2[[#This Row],[Annual Miles Traveled:]]*IF(Table2[[#This Row],[New Engine Fuel Type:]]="ULSD",VLOOKUP(Table2[[#This Row],[New Engine Model Year:]],EFTable[],5,FALSE),VLOOKUP(Table2[[#This Row],[New Engine Fuel Type:]],EFTable[],5,FALSE)))</f>
        <v/>
      </c>
      <c r="BO59" s="190" t="str">
        <f>IF(Table2[[#This Row],[Counter Number]]="","",Table2[[#This Row],[Old Bus HC Emissions (tons/yr)]]-Table2[[#This Row],[New Bus HC Emissions (tons/yr)]])</f>
        <v/>
      </c>
      <c r="BP59" s="188" t="str">
        <f>IF(Table2[[#This Row],[Counter Number]]="","",Table2[[#This Row],[Reduction Bus HC Emissions (tons/yr)]]/Table2[[#This Row],[Old Bus HC Emissions (tons/yr)]])</f>
        <v/>
      </c>
      <c r="BQ59" s="193" t="str">
        <f>IF(Table2[[#This Row],[Counter Number]]="","",Table2[[#This Row],[Reduction Bus HC Emissions (tons/yr)]]*Table2[[#This Row],[Remaining Life:]])</f>
        <v/>
      </c>
      <c r="BR59" s="194" t="str">
        <f>IF(Table2[[#This Row],[Counter Number]]="","",IF(Table2[[#This Row],[Lifetime HC Reduction (tons)]]=0,"NA",Table2[[#This Row],[Upgrade Cost Per Unit]]/Table2[[#This Row],[Lifetime HC Reduction (tons)]]))</f>
        <v/>
      </c>
      <c r="BS59" s="191" t="str">
        <f>IF(Table2[[#This Row],[Counter Number]]="","",Table2[[#This Row],[Annual Miles Traveled:]]*VLOOKUP(Table2[[#This Row],[Engine Model Year:]],EF!$A$2:$G$27,6,FALSE))</f>
        <v/>
      </c>
      <c r="BT59" s="173" t="str">
        <f>IF(Table2[[#This Row],[Counter Number]]="","",Table2[[#This Row],[Annual Miles Traveled:]]*IF(Table2[[#This Row],[New Engine Fuel Type:]]="ULSD",VLOOKUP(Table2[[#This Row],[New Engine Model Year:]],EFTable[],6,FALSE),VLOOKUP(Table2[[#This Row],[New Engine Fuel Type:]],EFTable[],6,FALSE)))</f>
        <v/>
      </c>
      <c r="BU59" s="190" t="str">
        <f>IF(Table2[[#This Row],[Counter Number]]="","",Table2[[#This Row],[Old Bus CO Emissions (tons/yr)]]-Table2[[#This Row],[New Bus CO Emissions (tons/yr)]])</f>
        <v/>
      </c>
      <c r="BV59" s="188" t="str">
        <f>IF(Table2[[#This Row],[Counter Number]]="","",Table2[[#This Row],[Reduction Bus CO Emissions (tons/yr)]]/Table2[[#This Row],[Old Bus CO Emissions (tons/yr)]])</f>
        <v/>
      </c>
      <c r="BW59" s="193" t="str">
        <f>IF(Table2[[#This Row],[Counter Number]]="","",Table2[[#This Row],[Reduction Bus CO Emissions (tons/yr)]]*Table2[[#This Row],[Remaining Life:]])</f>
        <v/>
      </c>
      <c r="BX59" s="194" t="str">
        <f>IF(Table2[[#This Row],[Counter Number]]="","",IF(Table2[[#This Row],[Lifetime CO Reduction (tons)]]=0,"NA",Table2[[#This Row],[Upgrade Cost Per Unit]]/Table2[[#This Row],[Lifetime CO Reduction (tons)]]))</f>
        <v/>
      </c>
      <c r="BY59" s="180" t="str">
        <f>IF(Table2[[#This Row],[Counter Number]]="","",Table2[[#This Row],[Old ULSD Used (gal):]]*VLOOKUP(Table2[[#This Row],[Engine Model Year:]],EF!$A$2:$G$27,7,FALSE))</f>
        <v/>
      </c>
      <c r="BZ5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9" s="195" t="str">
        <f>IF(Table2[[#This Row],[Counter Number]]="","",Table2[[#This Row],[Old Bus CO2 Emissions (tons/yr)]]-Table2[[#This Row],[New Bus CO2 Emissions (tons/yr)]])</f>
        <v/>
      </c>
      <c r="CB59" s="188" t="str">
        <f>IF(Table2[[#This Row],[Counter Number]]="","",Table2[[#This Row],[Reduction Bus CO2 Emissions (tons/yr)]]/Table2[[#This Row],[Old Bus CO2 Emissions (tons/yr)]])</f>
        <v/>
      </c>
      <c r="CC59" s="195" t="str">
        <f>IF(Table2[[#This Row],[Counter Number]]="","",Table2[[#This Row],[Reduction Bus CO2 Emissions (tons/yr)]]*Table2[[#This Row],[Remaining Life:]])</f>
        <v/>
      </c>
      <c r="CD59" s="194" t="str">
        <f>IF(Table2[[#This Row],[Counter Number]]="","",IF(Table2[[#This Row],[Lifetime CO2 Reduction (tons)]]=0,"NA",Table2[[#This Row],[Upgrade Cost Per Unit]]/Table2[[#This Row],[Lifetime CO2 Reduction (tons)]]))</f>
        <v/>
      </c>
      <c r="CE59" s="182" t="str">
        <f>IF(Table2[[#This Row],[Counter Number]]="","",IF(Table2[[#This Row],[New ULSD Used (gal):]]="",Table2[[#This Row],[Old ULSD Used (gal):]],Table2[[#This Row],[Old ULSD Used (gal):]]-Table2[[#This Row],[New ULSD Used (gal):]]))</f>
        <v/>
      </c>
      <c r="CF59" s="196" t="str">
        <f>IF(Table2[[#This Row],[Counter Number]]="","",Table2[[#This Row],[Diesel Fuel Reduction (gal/yr)]]/Table2[[#This Row],[Old ULSD Used (gal):]])</f>
        <v/>
      </c>
      <c r="CG59" s="197" t="str">
        <f>IF(Table2[[#This Row],[Counter Number]]="","",Table2[[#This Row],[Diesel Fuel Reduction (gal/yr)]]*Table2[[#This Row],[Remaining Life:]])</f>
        <v/>
      </c>
    </row>
    <row r="60" spans="1:85">
      <c r="A60" s="184" t="str">
        <f>IF(A59&lt;Application!$D$24,A59+1,"")</f>
        <v/>
      </c>
      <c r="B60" s="60" t="str">
        <f>IF(Table2[[#This Row],[Counter Number]]="","",Application!$D$16)</f>
        <v/>
      </c>
      <c r="C60" s="60" t="str">
        <f>IF(Table2[[#This Row],[Counter Number]]="","",Application!$D$14)</f>
        <v/>
      </c>
      <c r="D60" s="60" t="str">
        <f>IF(Table2[[#This Row],[Counter Number]]="","",Table1[[#This Row],[Old Bus Number]])</f>
        <v/>
      </c>
      <c r="E60" s="60" t="str">
        <f>IF(Table2[[#This Row],[Counter Number]]="","",Application!$D$15)</f>
        <v/>
      </c>
      <c r="F60" s="60" t="str">
        <f>IF(Table2[[#This Row],[Counter Number]]="","","On Highway")</f>
        <v/>
      </c>
      <c r="G60" s="60" t="str">
        <f>IF(Table2[[#This Row],[Counter Number]]="","",I60)</f>
        <v/>
      </c>
      <c r="H60" s="60" t="str">
        <f>IF(Table2[[#This Row],[Counter Number]]="","","Georgia")</f>
        <v/>
      </c>
      <c r="I60" s="60" t="str">
        <f>IF(Table2[[#This Row],[Counter Number]]="","",Application!$D$16)</f>
        <v/>
      </c>
      <c r="J60" s="60" t="str">
        <f>IF(Table2[[#This Row],[Counter Number]]="","",Application!$D$21)</f>
        <v/>
      </c>
      <c r="K60" s="60" t="str">
        <f>IF(Table2[[#This Row],[Counter Number]]="","",Application!$J$21)</f>
        <v/>
      </c>
      <c r="L60" s="60" t="str">
        <f>IF(Table2[[#This Row],[Counter Number]]="","","School Bus")</f>
        <v/>
      </c>
      <c r="M60" s="60" t="str">
        <f>IF(Table2[[#This Row],[Counter Number]]="","","School Bus")</f>
        <v/>
      </c>
      <c r="N60" s="60" t="str">
        <f>IF(Table2[[#This Row],[Counter Number]]="","",1)</f>
        <v/>
      </c>
      <c r="O60" s="60" t="str">
        <f>IF(Table2[[#This Row],[Counter Number]]="","",Table1[[#This Row],[Vehicle Identification Number(s):]])</f>
        <v/>
      </c>
      <c r="P60" s="60" t="str">
        <f>IF(Table2[[#This Row],[Counter Number]]="","",Table1[[#This Row],[Old Bus Manufacturer:]])</f>
        <v/>
      </c>
      <c r="Q60" s="60" t="str">
        <f>IF(Table2[[#This Row],[Counter Number]]="","",Table1[[#This Row],[Vehicle Model:]])</f>
        <v/>
      </c>
      <c r="R60" s="165" t="str">
        <f>IF(Table2[[#This Row],[Counter Number]]="","",Table1[[#This Row],[Vehicle Model Year:]])</f>
        <v/>
      </c>
      <c r="S60" s="60" t="str">
        <f>IF(Table2[[#This Row],[Counter Number]]="","",Table1[[#This Row],[Engine Serial Number(s):]])</f>
        <v/>
      </c>
      <c r="T60" s="60" t="str">
        <f>IF(Table2[[#This Row],[Counter Number]]="","",Table1[[#This Row],[Engine Make:]])</f>
        <v/>
      </c>
      <c r="U60" s="60" t="str">
        <f>IF(Table2[[#This Row],[Counter Number]]="","",Table1[[#This Row],[Engine Model:]])</f>
        <v/>
      </c>
      <c r="V60" s="165" t="str">
        <f>IF(Table2[[#This Row],[Counter Number]]="","",Table1[[#This Row],[Engine Model Year:]])</f>
        <v/>
      </c>
      <c r="W60" s="60" t="str">
        <f>IF(Table2[[#This Row],[Counter Number]]="","","NA")</f>
        <v/>
      </c>
      <c r="X60" s="165" t="str">
        <f>IF(Table2[[#This Row],[Counter Number]]="","",Table1[[#This Row],[Engine Horsepower (HP):]])</f>
        <v/>
      </c>
      <c r="Y60" s="165" t="str">
        <f>IF(Table2[[#This Row],[Counter Number]]="","",Table1[[#This Row],[Engine Cylinder Displacement (L):]]&amp;" L")</f>
        <v/>
      </c>
      <c r="Z60" s="165" t="str">
        <f>IF(Table2[[#This Row],[Counter Number]]="","",Table1[[#This Row],[Engine Number of Cylinders:]])</f>
        <v/>
      </c>
      <c r="AA60" s="166" t="str">
        <f>IF(Table2[[#This Row],[Counter Number]]="","",Table1[[#This Row],[Engine Family Name:]])</f>
        <v/>
      </c>
      <c r="AB60" s="60" t="str">
        <f>IF(Table2[[#This Row],[Counter Number]]="","","ULSD")</f>
        <v/>
      </c>
      <c r="AC60" s="167" t="str">
        <f>IF(Table2[[#This Row],[Counter Number]]="","",Table2[[#This Row],[Annual Miles Traveled:]]/Table1[[#This Row],[Old Fuel (mpg)]])</f>
        <v/>
      </c>
      <c r="AD60" s="60" t="str">
        <f>IF(Table2[[#This Row],[Counter Number]]="","","NA")</f>
        <v/>
      </c>
      <c r="AE60" s="168" t="str">
        <f>IF(Table2[[#This Row],[Counter Number]]="","",Table1[[#This Row],[Annual Miles Traveled]])</f>
        <v/>
      </c>
      <c r="AF60" s="169" t="str">
        <f>IF(Table2[[#This Row],[Counter Number]]="","",Table1[[#This Row],[Annual Idling Hours:]])</f>
        <v/>
      </c>
      <c r="AG60" s="60" t="str">
        <f>IF(Table2[[#This Row],[Counter Number]]="","","NA")</f>
        <v/>
      </c>
      <c r="AH60" s="165" t="str">
        <f>IF(Table2[[#This Row],[Counter Number]]="","",IF(Application!$J$25="Set Policy",Table1[[#This Row],[Remaining Life (years)         Set Policy]],Table1[[#This Row],[Remaining Life (years)               Case-by-Case]]))</f>
        <v/>
      </c>
      <c r="AI60" s="165" t="str">
        <f>IF(Table2[[#This Row],[Counter Number]]="","",IF(Application!$J$25="Case-by-Case","NA",Table2[[#This Row],[Fiscal Year of EPA Funds Used:]]+Table2[[#This Row],[Remaining Life:]]))</f>
        <v/>
      </c>
      <c r="AJ60" s="165"/>
      <c r="AK60" s="170" t="str">
        <f>IF(Table2[[#This Row],[Counter Number]]="","",Application!$D$14+1)</f>
        <v/>
      </c>
      <c r="AL60" s="60" t="str">
        <f>IF(Table2[[#This Row],[Counter Number]]="","","Vehicle Replacement")</f>
        <v/>
      </c>
      <c r="AM6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0" s="171" t="str">
        <f>IF(Table2[[#This Row],[Counter Number]]="","",Table1[[#This Row],[Cost of New Bus:]])</f>
        <v/>
      </c>
      <c r="AO60" s="60" t="str">
        <f>IF(Table2[[#This Row],[Counter Number]]="","","NA")</f>
        <v/>
      </c>
      <c r="AP60" s="165" t="str">
        <f>IF(Table2[[#This Row],[Counter Number]]="","",Table1[[#This Row],[New Engine Model Year:]])</f>
        <v/>
      </c>
      <c r="AQ60" s="60" t="str">
        <f>IF(Table2[[#This Row],[Counter Number]]="","","NA")</f>
        <v/>
      </c>
      <c r="AR60" s="165" t="str">
        <f>IF(Table2[[#This Row],[Counter Number]]="","",Table1[[#This Row],[New Engine Horsepower (HP):]])</f>
        <v/>
      </c>
      <c r="AS60" s="60" t="str">
        <f>IF(Table2[[#This Row],[Counter Number]]="","","NA")</f>
        <v/>
      </c>
      <c r="AT60" s="165" t="str">
        <f>IF(Table2[[#This Row],[Counter Number]]="","",Table1[[#This Row],[New Engine Cylinder Displacement (L):]]&amp;" L")</f>
        <v/>
      </c>
      <c r="AU60" s="114" t="str">
        <f>IF(Table2[[#This Row],[Counter Number]]="","",Table1[[#This Row],[New Engine Number of Cylinders:]])</f>
        <v/>
      </c>
      <c r="AV60" s="60" t="str">
        <f>IF(Table2[[#This Row],[Counter Number]]="","",Table1[[#This Row],[New Engine Family Name:]])</f>
        <v/>
      </c>
      <c r="AW6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0" s="60" t="str">
        <f>IF(Table2[[#This Row],[Counter Number]]="","","NA")</f>
        <v/>
      </c>
      <c r="AY60" s="172" t="str">
        <f>IF(Table2[[#This Row],[Counter Number]]="","",IF(Table2[[#This Row],[New Engine Fuel Type:]]="ULSD",Table1[[#This Row],[Annual Miles Traveled]]/Table1[[#This Row],[New Fuel (mpg) if Diesel]],""))</f>
        <v/>
      </c>
      <c r="AZ60" s="60"/>
      <c r="BA60" s="173" t="str">
        <f>IF(Table2[[#This Row],[Counter Number]]="","",Table2[[#This Row],[Annual Miles Traveled:]]*VLOOKUP(Table2[[#This Row],[Engine Model Year:]],EFTable[],3,FALSE))</f>
        <v/>
      </c>
      <c r="BB60" s="173" t="str">
        <f>IF(Table2[[#This Row],[Counter Number]]="","",Table2[[#This Row],[Annual Miles Traveled:]]*IF(Table2[[#This Row],[New Engine Fuel Type:]]="ULSD",VLOOKUP(Table2[[#This Row],[New Engine Model Year:]],EFTable[],3,FALSE),VLOOKUP(Table2[[#This Row],[New Engine Fuel Type:]],EFTable[],3,FALSE)))</f>
        <v/>
      </c>
      <c r="BC60" s="187" t="str">
        <f>IF(Table2[[#This Row],[Counter Number]]="","",Table2[[#This Row],[Old Bus NOx Emissions (tons/yr)]]-Table2[[#This Row],[New Bus NOx Emissions (tons/yr)]])</f>
        <v/>
      </c>
      <c r="BD60" s="188" t="str">
        <f>IF(Table2[[#This Row],[Counter Number]]="","",Table2[[#This Row],[Reduction Bus NOx Emissions (tons/yr)]]/Table2[[#This Row],[Old Bus NOx Emissions (tons/yr)]])</f>
        <v/>
      </c>
      <c r="BE60" s="175" t="str">
        <f>IF(Table2[[#This Row],[Counter Number]]="","",Table2[[#This Row],[Reduction Bus NOx Emissions (tons/yr)]]*Table2[[#This Row],[Remaining Life:]])</f>
        <v/>
      </c>
      <c r="BF60" s="189" t="str">
        <f>IF(Table2[[#This Row],[Counter Number]]="","",IF(Table2[[#This Row],[Lifetime NOx Reduction (tons)]]=0,"NA",Table2[[#This Row],[Upgrade Cost Per Unit]]/Table2[[#This Row],[Lifetime NOx Reduction (tons)]]))</f>
        <v/>
      </c>
      <c r="BG60" s="190" t="str">
        <f>IF(Table2[[#This Row],[Counter Number]]="","",Table2[[#This Row],[Annual Miles Traveled:]]*VLOOKUP(Table2[[#This Row],[Engine Model Year:]],EF!$A$2:$G$27,4,FALSE))</f>
        <v/>
      </c>
      <c r="BH60" s="173" t="str">
        <f>IF(Table2[[#This Row],[Counter Number]]="","",Table2[[#This Row],[Annual Miles Traveled:]]*IF(Table2[[#This Row],[New Engine Fuel Type:]]="ULSD",VLOOKUP(Table2[[#This Row],[New Engine Model Year:]],EFTable[],4,FALSE),VLOOKUP(Table2[[#This Row],[New Engine Fuel Type:]],EFTable[],4,FALSE)))</f>
        <v/>
      </c>
      <c r="BI60" s="191" t="str">
        <f>IF(Table2[[#This Row],[Counter Number]]="","",Table2[[#This Row],[Old Bus PM2.5 Emissions (tons/yr)]]-Table2[[#This Row],[New Bus PM2.5 Emissions (tons/yr)]])</f>
        <v/>
      </c>
      <c r="BJ60" s="192" t="str">
        <f>IF(Table2[[#This Row],[Counter Number]]="","",Table2[[#This Row],[Reduction Bus PM2.5 Emissions (tons/yr)]]/Table2[[#This Row],[Old Bus PM2.5 Emissions (tons/yr)]])</f>
        <v/>
      </c>
      <c r="BK60" s="193" t="str">
        <f>IF(Table2[[#This Row],[Counter Number]]="","",Table2[[#This Row],[Reduction Bus PM2.5 Emissions (tons/yr)]]*Table2[[#This Row],[Remaining Life:]])</f>
        <v/>
      </c>
      <c r="BL60" s="194" t="str">
        <f>IF(Table2[[#This Row],[Counter Number]]="","",IF(Table2[[#This Row],[Lifetime PM2.5 Reduction (tons)]]=0,"NA",Table2[[#This Row],[Upgrade Cost Per Unit]]/Table2[[#This Row],[Lifetime PM2.5 Reduction (tons)]]))</f>
        <v/>
      </c>
      <c r="BM60" s="179" t="str">
        <f>IF(Table2[[#This Row],[Counter Number]]="","",Table2[[#This Row],[Annual Miles Traveled:]]*VLOOKUP(Table2[[#This Row],[Engine Model Year:]],EF!$A$2:$G$40,5,FALSE))</f>
        <v/>
      </c>
      <c r="BN60" s="173" t="str">
        <f>IF(Table2[[#This Row],[Counter Number]]="","",Table2[[#This Row],[Annual Miles Traveled:]]*IF(Table2[[#This Row],[New Engine Fuel Type:]]="ULSD",VLOOKUP(Table2[[#This Row],[New Engine Model Year:]],EFTable[],5,FALSE),VLOOKUP(Table2[[#This Row],[New Engine Fuel Type:]],EFTable[],5,FALSE)))</f>
        <v/>
      </c>
      <c r="BO60" s="190" t="str">
        <f>IF(Table2[[#This Row],[Counter Number]]="","",Table2[[#This Row],[Old Bus HC Emissions (tons/yr)]]-Table2[[#This Row],[New Bus HC Emissions (tons/yr)]])</f>
        <v/>
      </c>
      <c r="BP60" s="188" t="str">
        <f>IF(Table2[[#This Row],[Counter Number]]="","",Table2[[#This Row],[Reduction Bus HC Emissions (tons/yr)]]/Table2[[#This Row],[Old Bus HC Emissions (tons/yr)]])</f>
        <v/>
      </c>
      <c r="BQ60" s="193" t="str">
        <f>IF(Table2[[#This Row],[Counter Number]]="","",Table2[[#This Row],[Reduction Bus HC Emissions (tons/yr)]]*Table2[[#This Row],[Remaining Life:]])</f>
        <v/>
      </c>
      <c r="BR60" s="194" t="str">
        <f>IF(Table2[[#This Row],[Counter Number]]="","",IF(Table2[[#This Row],[Lifetime HC Reduction (tons)]]=0,"NA",Table2[[#This Row],[Upgrade Cost Per Unit]]/Table2[[#This Row],[Lifetime HC Reduction (tons)]]))</f>
        <v/>
      </c>
      <c r="BS60" s="191" t="str">
        <f>IF(Table2[[#This Row],[Counter Number]]="","",Table2[[#This Row],[Annual Miles Traveled:]]*VLOOKUP(Table2[[#This Row],[Engine Model Year:]],EF!$A$2:$G$27,6,FALSE))</f>
        <v/>
      </c>
      <c r="BT60" s="173" t="str">
        <f>IF(Table2[[#This Row],[Counter Number]]="","",Table2[[#This Row],[Annual Miles Traveled:]]*IF(Table2[[#This Row],[New Engine Fuel Type:]]="ULSD",VLOOKUP(Table2[[#This Row],[New Engine Model Year:]],EFTable[],6,FALSE),VLOOKUP(Table2[[#This Row],[New Engine Fuel Type:]],EFTable[],6,FALSE)))</f>
        <v/>
      </c>
      <c r="BU60" s="190" t="str">
        <f>IF(Table2[[#This Row],[Counter Number]]="","",Table2[[#This Row],[Old Bus CO Emissions (tons/yr)]]-Table2[[#This Row],[New Bus CO Emissions (tons/yr)]])</f>
        <v/>
      </c>
      <c r="BV60" s="188" t="str">
        <f>IF(Table2[[#This Row],[Counter Number]]="","",Table2[[#This Row],[Reduction Bus CO Emissions (tons/yr)]]/Table2[[#This Row],[Old Bus CO Emissions (tons/yr)]])</f>
        <v/>
      </c>
      <c r="BW60" s="193" t="str">
        <f>IF(Table2[[#This Row],[Counter Number]]="","",Table2[[#This Row],[Reduction Bus CO Emissions (tons/yr)]]*Table2[[#This Row],[Remaining Life:]])</f>
        <v/>
      </c>
      <c r="BX60" s="194" t="str">
        <f>IF(Table2[[#This Row],[Counter Number]]="","",IF(Table2[[#This Row],[Lifetime CO Reduction (tons)]]=0,"NA",Table2[[#This Row],[Upgrade Cost Per Unit]]/Table2[[#This Row],[Lifetime CO Reduction (tons)]]))</f>
        <v/>
      </c>
      <c r="BY60" s="180" t="str">
        <f>IF(Table2[[#This Row],[Counter Number]]="","",Table2[[#This Row],[Old ULSD Used (gal):]]*VLOOKUP(Table2[[#This Row],[Engine Model Year:]],EF!$A$2:$G$27,7,FALSE))</f>
        <v/>
      </c>
      <c r="BZ6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0" s="195" t="str">
        <f>IF(Table2[[#This Row],[Counter Number]]="","",Table2[[#This Row],[Old Bus CO2 Emissions (tons/yr)]]-Table2[[#This Row],[New Bus CO2 Emissions (tons/yr)]])</f>
        <v/>
      </c>
      <c r="CB60" s="188" t="str">
        <f>IF(Table2[[#This Row],[Counter Number]]="","",Table2[[#This Row],[Reduction Bus CO2 Emissions (tons/yr)]]/Table2[[#This Row],[Old Bus CO2 Emissions (tons/yr)]])</f>
        <v/>
      </c>
      <c r="CC60" s="195" t="str">
        <f>IF(Table2[[#This Row],[Counter Number]]="","",Table2[[#This Row],[Reduction Bus CO2 Emissions (tons/yr)]]*Table2[[#This Row],[Remaining Life:]])</f>
        <v/>
      </c>
      <c r="CD60" s="194" t="str">
        <f>IF(Table2[[#This Row],[Counter Number]]="","",IF(Table2[[#This Row],[Lifetime CO2 Reduction (tons)]]=0,"NA",Table2[[#This Row],[Upgrade Cost Per Unit]]/Table2[[#This Row],[Lifetime CO2 Reduction (tons)]]))</f>
        <v/>
      </c>
      <c r="CE60" s="182" t="str">
        <f>IF(Table2[[#This Row],[Counter Number]]="","",IF(Table2[[#This Row],[New ULSD Used (gal):]]="",Table2[[#This Row],[Old ULSD Used (gal):]],Table2[[#This Row],[Old ULSD Used (gal):]]-Table2[[#This Row],[New ULSD Used (gal):]]))</f>
        <v/>
      </c>
      <c r="CF60" s="196" t="str">
        <f>IF(Table2[[#This Row],[Counter Number]]="","",Table2[[#This Row],[Diesel Fuel Reduction (gal/yr)]]/Table2[[#This Row],[Old ULSD Used (gal):]])</f>
        <v/>
      </c>
      <c r="CG60" s="197" t="str">
        <f>IF(Table2[[#This Row],[Counter Number]]="","",Table2[[#This Row],[Diesel Fuel Reduction (gal/yr)]]*Table2[[#This Row],[Remaining Life:]])</f>
        <v/>
      </c>
    </row>
    <row r="61" spans="1:85">
      <c r="A61" s="184" t="str">
        <f>IF(A60&lt;Application!$D$24,A60+1,"")</f>
        <v/>
      </c>
      <c r="B61" s="60" t="str">
        <f>IF(Table2[[#This Row],[Counter Number]]="","",Application!$D$16)</f>
        <v/>
      </c>
      <c r="C61" s="60" t="str">
        <f>IF(Table2[[#This Row],[Counter Number]]="","",Application!$D$14)</f>
        <v/>
      </c>
      <c r="D61" s="60" t="str">
        <f>IF(Table2[[#This Row],[Counter Number]]="","",Table1[[#This Row],[Old Bus Number]])</f>
        <v/>
      </c>
      <c r="E61" s="60" t="str">
        <f>IF(Table2[[#This Row],[Counter Number]]="","",Application!$D$15)</f>
        <v/>
      </c>
      <c r="F61" s="60" t="str">
        <f>IF(Table2[[#This Row],[Counter Number]]="","","On Highway")</f>
        <v/>
      </c>
      <c r="G61" s="60" t="str">
        <f>IF(Table2[[#This Row],[Counter Number]]="","",I61)</f>
        <v/>
      </c>
      <c r="H61" s="60" t="str">
        <f>IF(Table2[[#This Row],[Counter Number]]="","","Georgia")</f>
        <v/>
      </c>
      <c r="I61" s="60" t="str">
        <f>IF(Table2[[#This Row],[Counter Number]]="","",Application!$D$16)</f>
        <v/>
      </c>
      <c r="J61" s="60" t="str">
        <f>IF(Table2[[#This Row],[Counter Number]]="","",Application!$D$21)</f>
        <v/>
      </c>
      <c r="K61" s="60" t="str">
        <f>IF(Table2[[#This Row],[Counter Number]]="","",Application!$J$21)</f>
        <v/>
      </c>
      <c r="L61" s="60" t="str">
        <f>IF(Table2[[#This Row],[Counter Number]]="","","School Bus")</f>
        <v/>
      </c>
      <c r="M61" s="60" t="str">
        <f>IF(Table2[[#This Row],[Counter Number]]="","","School Bus")</f>
        <v/>
      </c>
      <c r="N61" s="60" t="str">
        <f>IF(Table2[[#This Row],[Counter Number]]="","",1)</f>
        <v/>
      </c>
      <c r="O61" s="60" t="str">
        <f>IF(Table2[[#This Row],[Counter Number]]="","",Table1[[#This Row],[Vehicle Identification Number(s):]])</f>
        <v/>
      </c>
      <c r="P61" s="60" t="str">
        <f>IF(Table2[[#This Row],[Counter Number]]="","",Table1[[#This Row],[Old Bus Manufacturer:]])</f>
        <v/>
      </c>
      <c r="Q61" s="60" t="str">
        <f>IF(Table2[[#This Row],[Counter Number]]="","",Table1[[#This Row],[Vehicle Model:]])</f>
        <v/>
      </c>
      <c r="R61" s="165" t="str">
        <f>IF(Table2[[#This Row],[Counter Number]]="","",Table1[[#This Row],[Vehicle Model Year:]])</f>
        <v/>
      </c>
      <c r="S61" s="60" t="str">
        <f>IF(Table2[[#This Row],[Counter Number]]="","",Table1[[#This Row],[Engine Serial Number(s):]])</f>
        <v/>
      </c>
      <c r="T61" s="60" t="str">
        <f>IF(Table2[[#This Row],[Counter Number]]="","",Table1[[#This Row],[Engine Make:]])</f>
        <v/>
      </c>
      <c r="U61" s="60" t="str">
        <f>IF(Table2[[#This Row],[Counter Number]]="","",Table1[[#This Row],[Engine Model:]])</f>
        <v/>
      </c>
      <c r="V61" s="165" t="str">
        <f>IF(Table2[[#This Row],[Counter Number]]="","",Table1[[#This Row],[Engine Model Year:]])</f>
        <v/>
      </c>
      <c r="W61" s="60" t="str">
        <f>IF(Table2[[#This Row],[Counter Number]]="","","NA")</f>
        <v/>
      </c>
      <c r="X61" s="165" t="str">
        <f>IF(Table2[[#This Row],[Counter Number]]="","",Table1[[#This Row],[Engine Horsepower (HP):]])</f>
        <v/>
      </c>
      <c r="Y61" s="165" t="str">
        <f>IF(Table2[[#This Row],[Counter Number]]="","",Table1[[#This Row],[Engine Cylinder Displacement (L):]]&amp;" L")</f>
        <v/>
      </c>
      <c r="Z61" s="165" t="str">
        <f>IF(Table2[[#This Row],[Counter Number]]="","",Table1[[#This Row],[Engine Number of Cylinders:]])</f>
        <v/>
      </c>
      <c r="AA61" s="166" t="str">
        <f>IF(Table2[[#This Row],[Counter Number]]="","",Table1[[#This Row],[Engine Family Name:]])</f>
        <v/>
      </c>
      <c r="AB61" s="60" t="str">
        <f>IF(Table2[[#This Row],[Counter Number]]="","","ULSD")</f>
        <v/>
      </c>
      <c r="AC61" s="167" t="str">
        <f>IF(Table2[[#This Row],[Counter Number]]="","",Table2[[#This Row],[Annual Miles Traveled:]]/Table1[[#This Row],[Old Fuel (mpg)]])</f>
        <v/>
      </c>
      <c r="AD61" s="60" t="str">
        <f>IF(Table2[[#This Row],[Counter Number]]="","","NA")</f>
        <v/>
      </c>
      <c r="AE61" s="168" t="str">
        <f>IF(Table2[[#This Row],[Counter Number]]="","",Table1[[#This Row],[Annual Miles Traveled]])</f>
        <v/>
      </c>
      <c r="AF61" s="169" t="str">
        <f>IF(Table2[[#This Row],[Counter Number]]="","",Table1[[#This Row],[Annual Idling Hours:]])</f>
        <v/>
      </c>
      <c r="AG61" s="60" t="str">
        <f>IF(Table2[[#This Row],[Counter Number]]="","","NA")</f>
        <v/>
      </c>
      <c r="AH61" s="165" t="str">
        <f>IF(Table2[[#This Row],[Counter Number]]="","",IF(Application!$J$25="Set Policy",Table1[[#This Row],[Remaining Life (years)         Set Policy]],Table1[[#This Row],[Remaining Life (years)               Case-by-Case]]))</f>
        <v/>
      </c>
      <c r="AI61" s="165" t="str">
        <f>IF(Table2[[#This Row],[Counter Number]]="","",IF(Application!$J$25="Case-by-Case","NA",Table2[[#This Row],[Fiscal Year of EPA Funds Used:]]+Table2[[#This Row],[Remaining Life:]]))</f>
        <v/>
      </c>
      <c r="AJ61" s="165"/>
      <c r="AK61" s="170" t="str">
        <f>IF(Table2[[#This Row],[Counter Number]]="","",Application!$D$14+1)</f>
        <v/>
      </c>
      <c r="AL61" s="60" t="str">
        <f>IF(Table2[[#This Row],[Counter Number]]="","","Vehicle Replacement")</f>
        <v/>
      </c>
      <c r="AM6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1" s="171" t="str">
        <f>IF(Table2[[#This Row],[Counter Number]]="","",Table1[[#This Row],[Cost of New Bus:]])</f>
        <v/>
      </c>
      <c r="AO61" s="60" t="str">
        <f>IF(Table2[[#This Row],[Counter Number]]="","","NA")</f>
        <v/>
      </c>
      <c r="AP61" s="165" t="str">
        <f>IF(Table2[[#This Row],[Counter Number]]="","",Table1[[#This Row],[New Engine Model Year:]])</f>
        <v/>
      </c>
      <c r="AQ61" s="60" t="str">
        <f>IF(Table2[[#This Row],[Counter Number]]="","","NA")</f>
        <v/>
      </c>
      <c r="AR61" s="165" t="str">
        <f>IF(Table2[[#This Row],[Counter Number]]="","",Table1[[#This Row],[New Engine Horsepower (HP):]])</f>
        <v/>
      </c>
      <c r="AS61" s="60" t="str">
        <f>IF(Table2[[#This Row],[Counter Number]]="","","NA")</f>
        <v/>
      </c>
      <c r="AT61" s="165" t="str">
        <f>IF(Table2[[#This Row],[Counter Number]]="","",Table1[[#This Row],[New Engine Cylinder Displacement (L):]]&amp;" L")</f>
        <v/>
      </c>
      <c r="AU61" s="114" t="str">
        <f>IF(Table2[[#This Row],[Counter Number]]="","",Table1[[#This Row],[New Engine Number of Cylinders:]])</f>
        <v/>
      </c>
      <c r="AV61" s="60" t="str">
        <f>IF(Table2[[#This Row],[Counter Number]]="","",Table1[[#This Row],[New Engine Family Name:]])</f>
        <v/>
      </c>
      <c r="AW6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1" s="60" t="str">
        <f>IF(Table2[[#This Row],[Counter Number]]="","","NA")</f>
        <v/>
      </c>
      <c r="AY61" s="172" t="str">
        <f>IF(Table2[[#This Row],[Counter Number]]="","",IF(Table2[[#This Row],[New Engine Fuel Type:]]="ULSD",Table1[[#This Row],[Annual Miles Traveled]]/Table1[[#This Row],[New Fuel (mpg) if Diesel]],""))</f>
        <v/>
      </c>
      <c r="AZ61" s="60"/>
      <c r="BA61" s="173" t="str">
        <f>IF(Table2[[#This Row],[Counter Number]]="","",Table2[[#This Row],[Annual Miles Traveled:]]*VLOOKUP(Table2[[#This Row],[Engine Model Year:]],EFTable[],3,FALSE))</f>
        <v/>
      </c>
      <c r="BB61" s="173" t="str">
        <f>IF(Table2[[#This Row],[Counter Number]]="","",Table2[[#This Row],[Annual Miles Traveled:]]*IF(Table2[[#This Row],[New Engine Fuel Type:]]="ULSD",VLOOKUP(Table2[[#This Row],[New Engine Model Year:]],EFTable[],3,FALSE),VLOOKUP(Table2[[#This Row],[New Engine Fuel Type:]],EFTable[],3,FALSE)))</f>
        <v/>
      </c>
      <c r="BC61" s="187" t="str">
        <f>IF(Table2[[#This Row],[Counter Number]]="","",Table2[[#This Row],[Old Bus NOx Emissions (tons/yr)]]-Table2[[#This Row],[New Bus NOx Emissions (tons/yr)]])</f>
        <v/>
      </c>
      <c r="BD61" s="188" t="str">
        <f>IF(Table2[[#This Row],[Counter Number]]="","",Table2[[#This Row],[Reduction Bus NOx Emissions (tons/yr)]]/Table2[[#This Row],[Old Bus NOx Emissions (tons/yr)]])</f>
        <v/>
      </c>
      <c r="BE61" s="175" t="str">
        <f>IF(Table2[[#This Row],[Counter Number]]="","",Table2[[#This Row],[Reduction Bus NOx Emissions (tons/yr)]]*Table2[[#This Row],[Remaining Life:]])</f>
        <v/>
      </c>
      <c r="BF61" s="189" t="str">
        <f>IF(Table2[[#This Row],[Counter Number]]="","",IF(Table2[[#This Row],[Lifetime NOx Reduction (tons)]]=0,"NA",Table2[[#This Row],[Upgrade Cost Per Unit]]/Table2[[#This Row],[Lifetime NOx Reduction (tons)]]))</f>
        <v/>
      </c>
      <c r="BG61" s="190" t="str">
        <f>IF(Table2[[#This Row],[Counter Number]]="","",Table2[[#This Row],[Annual Miles Traveled:]]*VLOOKUP(Table2[[#This Row],[Engine Model Year:]],EF!$A$2:$G$27,4,FALSE))</f>
        <v/>
      </c>
      <c r="BH61" s="173" t="str">
        <f>IF(Table2[[#This Row],[Counter Number]]="","",Table2[[#This Row],[Annual Miles Traveled:]]*IF(Table2[[#This Row],[New Engine Fuel Type:]]="ULSD",VLOOKUP(Table2[[#This Row],[New Engine Model Year:]],EFTable[],4,FALSE),VLOOKUP(Table2[[#This Row],[New Engine Fuel Type:]],EFTable[],4,FALSE)))</f>
        <v/>
      </c>
      <c r="BI61" s="191" t="str">
        <f>IF(Table2[[#This Row],[Counter Number]]="","",Table2[[#This Row],[Old Bus PM2.5 Emissions (tons/yr)]]-Table2[[#This Row],[New Bus PM2.5 Emissions (tons/yr)]])</f>
        <v/>
      </c>
      <c r="BJ61" s="192" t="str">
        <f>IF(Table2[[#This Row],[Counter Number]]="","",Table2[[#This Row],[Reduction Bus PM2.5 Emissions (tons/yr)]]/Table2[[#This Row],[Old Bus PM2.5 Emissions (tons/yr)]])</f>
        <v/>
      </c>
      <c r="BK61" s="193" t="str">
        <f>IF(Table2[[#This Row],[Counter Number]]="","",Table2[[#This Row],[Reduction Bus PM2.5 Emissions (tons/yr)]]*Table2[[#This Row],[Remaining Life:]])</f>
        <v/>
      </c>
      <c r="BL61" s="194" t="str">
        <f>IF(Table2[[#This Row],[Counter Number]]="","",IF(Table2[[#This Row],[Lifetime PM2.5 Reduction (tons)]]=0,"NA",Table2[[#This Row],[Upgrade Cost Per Unit]]/Table2[[#This Row],[Lifetime PM2.5 Reduction (tons)]]))</f>
        <v/>
      </c>
      <c r="BM61" s="179" t="str">
        <f>IF(Table2[[#This Row],[Counter Number]]="","",Table2[[#This Row],[Annual Miles Traveled:]]*VLOOKUP(Table2[[#This Row],[Engine Model Year:]],EF!$A$2:$G$40,5,FALSE))</f>
        <v/>
      </c>
      <c r="BN61" s="173" t="str">
        <f>IF(Table2[[#This Row],[Counter Number]]="","",Table2[[#This Row],[Annual Miles Traveled:]]*IF(Table2[[#This Row],[New Engine Fuel Type:]]="ULSD",VLOOKUP(Table2[[#This Row],[New Engine Model Year:]],EFTable[],5,FALSE),VLOOKUP(Table2[[#This Row],[New Engine Fuel Type:]],EFTable[],5,FALSE)))</f>
        <v/>
      </c>
      <c r="BO61" s="190" t="str">
        <f>IF(Table2[[#This Row],[Counter Number]]="","",Table2[[#This Row],[Old Bus HC Emissions (tons/yr)]]-Table2[[#This Row],[New Bus HC Emissions (tons/yr)]])</f>
        <v/>
      </c>
      <c r="BP61" s="188" t="str">
        <f>IF(Table2[[#This Row],[Counter Number]]="","",Table2[[#This Row],[Reduction Bus HC Emissions (tons/yr)]]/Table2[[#This Row],[Old Bus HC Emissions (tons/yr)]])</f>
        <v/>
      </c>
      <c r="BQ61" s="193" t="str">
        <f>IF(Table2[[#This Row],[Counter Number]]="","",Table2[[#This Row],[Reduction Bus HC Emissions (tons/yr)]]*Table2[[#This Row],[Remaining Life:]])</f>
        <v/>
      </c>
      <c r="BR61" s="194" t="str">
        <f>IF(Table2[[#This Row],[Counter Number]]="","",IF(Table2[[#This Row],[Lifetime HC Reduction (tons)]]=0,"NA",Table2[[#This Row],[Upgrade Cost Per Unit]]/Table2[[#This Row],[Lifetime HC Reduction (tons)]]))</f>
        <v/>
      </c>
      <c r="BS61" s="191" t="str">
        <f>IF(Table2[[#This Row],[Counter Number]]="","",Table2[[#This Row],[Annual Miles Traveled:]]*VLOOKUP(Table2[[#This Row],[Engine Model Year:]],EF!$A$2:$G$27,6,FALSE))</f>
        <v/>
      </c>
      <c r="BT61" s="173" t="str">
        <f>IF(Table2[[#This Row],[Counter Number]]="","",Table2[[#This Row],[Annual Miles Traveled:]]*IF(Table2[[#This Row],[New Engine Fuel Type:]]="ULSD",VLOOKUP(Table2[[#This Row],[New Engine Model Year:]],EFTable[],6,FALSE),VLOOKUP(Table2[[#This Row],[New Engine Fuel Type:]],EFTable[],6,FALSE)))</f>
        <v/>
      </c>
      <c r="BU61" s="190" t="str">
        <f>IF(Table2[[#This Row],[Counter Number]]="","",Table2[[#This Row],[Old Bus CO Emissions (tons/yr)]]-Table2[[#This Row],[New Bus CO Emissions (tons/yr)]])</f>
        <v/>
      </c>
      <c r="BV61" s="188" t="str">
        <f>IF(Table2[[#This Row],[Counter Number]]="","",Table2[[#This Row],[Reduction Bus CO Emissions (tons/yr)]]/Table2[[#This Row],[Old Bus CO Emissions (tons/yr)]])</f>
        <v/>
      </c>
      <c r="BW61" s="193" t="str">
        <f>IF(Table2[[#This Row],[Counter Number]]="","",Table2[[#This Row],[Reduction Bus CO Emissions (tons/yr)]]*Table2[[#This Row],[Remaining Life:]])</f>
        <v/>
      </c>
      <c r="BX61" s="194" t="str">
        <f>IF(Table2[[#This Row],[Counter Number]]="","",IF(Table2[[#This Row],[Lifetime CO Reduction (tons)]]=0,"NA",Table2[[#This Row],[Upgrade Cost Per Unit]]/Table2[[#This Row],[Lifetime CO Reduction (tons)]]))</f>
        <v/>
      </c>
      <c r="BY61" s="180" t="str">
        <f>IF(Table2[[#This Row],[Counter Number]]="","",Table2[[#This Row],[Old ULSD Used (gal):]]*VLOOKUP(Table2[[#This Row],[Engine Model Year:]],EF!$A$2:$G$27,7,FALSE))</f>
        <v/>
      </c>
      <c r="BZ6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1" s="195" t="str">
        <f>IF(Table2[[#This Row],[Counter Number]]="","",Table2[[#This Row],[Old Bus CO2 Emissions (tons/yr)]]-Table2[[#This Row],[New Bus CO2 Emissions (tons/yr)]])</f>
        <v/>
      </c>
      <c r="CB61" s="188" t="str">
        <f>IF(Table2[[#This Row],[Counter Number]]="","",Table2[[#This Row],[Reduction Bus CO2 Emissions (tons/yr)]]/Table2[[#This Row],[Old Bus CO2 Emissions (tons/yr)]])</f>
        <v/>
      </c>
      <c r="CC61" s="195" t="str">
        <f>IF(Table2[[#This Row],[Counter Number]]="","",Table2[[#This Row],[Reduction Bus CO2 Emissions (tons/yr)]]*Table2[[#This Row],[Remaining Life:]])</f>
        <v/>
      </c>
      <c r="CD61" s="194" t="str">
        <f>IF(Table2[[#This Row],[Counter Number]]="","",IF(Table2[[#This Row],[Lifetime CO2 Reduction (tons)]]=0,"NA",Table2[[#This Row],[Upgrade Cost Per Unit]]/Table2[[#This Row],[Lifetime CO2 Reduction (tons)]]))</f>
        <v/>
      </c>
      <c r="CE61" s="182" t="str">
        <f>IF(Table2[[#This Row],[Counter Number]]="","",IF(Table2[[#This Row],[New ULSD Used (gal):]]="",Table2[[#This Row],[Old ULSD Used (gal):]],Table2[[#This Row],[Old ULSD Used (gal):]]-Table2[[#This Row],[New ULSD Used (gal):]]))</f>
        <v/>
      </c>
      <c r="CF61" s="196" t="str">
        <f>IF(Table2[[#This Row],[Counter Number]]="","",Table2[[#This Row],[Diesel Fuel Reduction (gal/yr)]]/Table2[[#This Row],[Old ULSD Used (gal):]])</f>
        <v/>
      </c>
      <c r="CG61" s="197" t="str">
        <f>IF(Table2[[#This Row],[Counter Number]]="","",Table2[[#This Row],[Diesel Fuel Reduction (gal/yr)]]*Table2[[#This Row],[Remaining Life:]])</f>
        <v/>
      </c>
    </row>
    <row r="62" spans="1:85">
      <c r="A62" s="184" t="str">
        <f>IF(A61&lt;Application!$D$24,A61+1,"")</f>
        <v/>
      </c>
      <c r="B62" s="60" t="str">
        <f>IF(Table2[[#This Row],[Counter Number]]="","",Application!$D$16)</f>
        <v/>
      </c>
      <c r="C62" s="60" t="str">
        <f>IF(Table2[[#This Row],[Counter Number]]="","",Application!$D$14)</f>
        <v/>
      </c>
      <c r="D62" s="60" t="str">
        <f>IF(Table2[[#This Row],[Counter Number]]="","",Table1[[#This Row],[Old Bus Number]])</f>
        <v/>
      </c>
      <c r="E62" s="60" t="str">
        <f>IF(Table2[[#This Row],[Counter Number]]="","",Application!$D$15)</f>
        <v/>
      </c>
      <c r="F62" s="60" t="str">
        <f>IF(Table2[[#This Row],[Counter Number]]="","","On Highway")</f>
        <v/>
      </c>
      <c r="G62" s="60" t="str">
        <f>IF(Table2[[#This Row],[Counter Number]]="","",I62)</f>
        <v/>
      </c>
      <c r="H62" s="60" t="str">
        <f>IF(Table2[[#This Row],[Counter Number]]="","","Georgia")</f>
        <v/>
      </c>
      <c r="I62" s="60" t="str">
        <f>IF(Table2[[#This Row],[Counter Number]]="","",Application!$D$16)</f>
        <v/>
      </c>
      <c r="J62" s="60" t="str">
        <f>IF(Table2[[#This Row],[Counter Number]]="","",Application!$D$21)</f>
        <v/>
      </c>
      <c r="K62" s="60" t="str">
        <f>IF(Table2[[#This Row],[Counter Number]]="","",Application!$J$21)</f>
        <v/>
      </c>
      <c r="L62" s="60" t="str">
        <f>IF(Table2[[#This Row],[Counter Number]]="","","School Bus")</f>
        <v/>
      </c>
      <c r="M62" s="60" t="str">
        <f>IF(Table2[[#This Row],[Counter Number]]="","","School Bus")</f>
        <v/>
      </c>
      <c r="N62" s="60" t="str">
        <f>IF(Table2[[#This Row],[Counter Number]]="","",1)</f>
        <v/>
      </c>
      <c r="O62" s="60" t="str">
        <f>IF(Table2[[#This Row],[Counter Number]]="","",Table1[[#This Row],[Vehicle Identification Number(s):]])</f>
        <v/>
      </c>
      <c r="P62" s="60" t="str">
        <f>IF(Table2[[#This Row],[Counter Number]]="","",Table1[[#This Row],[Old Bus Manufacturer:]])</f>
        <v/>
      </c>
      <c r="Q62" s="60" t="str">
        <f>IF(Table2[[#This Row],[Counter Number]]="","",Table1[[#This Row],[Vehicle Model:]])</f>
        <v/>
      </c>
      <c r="R62" s="165" t="str">
        <f>IF(Table2[[#This Row],[Counter Number]]="","",Table1[[#This Row],[Vehicle Model Year:]])</f>
        <v/>
      </c>
      <c r="S62" s="60" t="str">
        <f>IF(Table2[[#This Row],[Counter Number]]="","",Table1[[#This Row],[Engine Serial Number(s):]])</f>
        <v/>
      </c>
      <c r="T62" s="60" t="str">
        <f>IF(Table2[[#This Row],[Counter Number]]="","",Table1[[#This Row],[Engine Make:]])</f>
        <v/>
      </c>
      <c r="U62" s="60" t="str">
        <f>IF(Table2[[#This Row],[Counter Number]]="","",Table1[[#This Row],[Engine Model:]])</f>
        <v/>
      </c>
      <c r="V62" s="165" t="str">
        <f>IF(Table2[[#This Row],[Counter Number]]="","",Table1[[#This Row],[Engine Model Year:]])</f>
        <v/>
      </c>
      <c r="W62" s="60" t="str">
        <f>IF(Table2[[#This Row],[Counter Number]]="","","NA")</f>
        <v/>
      </c>
      <c r="X62" s="165" t="str">
        <f>IF(Table2[[#This Row],[Counter Number]]="","",Table1[[#This Row],[Engine Horsepower (HP):]])</f>
        <v/>
      </c>
      <c r="Y62" s="165" t="str">
        <f>IF(Table2[[#This Row],[Counter Number]]="","",Table1[[#This Row],[Engine Cylinder Displacement (L):]]&amp;" L")</f>
        <v/>
      </c>
      <c r="Z62" s="165" t="str">
        <f>IF(Table2[[#This Row],[Counter Number]]="","",Table1[[#This Row],[Engine Number of Cylinders:]])</f>
        <v/>
      </c>
      <c r="AA62" s="166" t="str">
        <f>IF(Table2[[#This Row],[Counter Number]]="","",Table1[[#This Row],[Engine Family Name:]])</f>
        <v/>
      </c>
      <c r="AB62" s="60" t="str">
        <f>IF(Table2[[#This Row],[Counter Number]]="","","ULSD")</f>
        <v/>
      </c>
      <c r="AC62" s="167" t="str">
        <f>IF(Table2[[#This Row],[Counter Number]]="","",Table2[[#This Row],[Annual Miles Traveled:]]/Table1[[#This Row],[Old Fuel (mpg)]])</f>
        <v/>
      </c>
      <c r="AD62" s="60" t="str">
        <f>IF(Table2[[#This Row],[Counter Number]]="","","NA")</f>
        <v/>
      </c>
      <c r="AE62" s="168" t="str">
        <f>IF(Table2[[#This Row],[Counter Number]]="","",Table1[[#This Row],[Annual Miles Traveled]])</f>
        <v/>
      </c>
      <c r="AF62" s="169" t="str">
        <f>IF(Table2[[#This Row],[Counter Number]]="","",Table1[[#This Row],[Annual Idling Hours:]])</f>
        <v/>
      </c>
      <c r="AG62" s="60" t="str">
        <f>IF(Table2[[#This Row],[Counter Number]]="","","NA")</f>
        <v/>
      </c>
      <c r="AH62" s="165" t="str">
        <f>IF(Table2[[#This Row],[Counter Number]]="","",IF(Application!$J$25="Set Policy",Table1[[#This Row],[Remaining Life (years)         Set Policy]],Table1[[#This Row],[Remaining Life (years)               Case-by-Case]]))</f>
        <v/>
      </c>
      <c r="AI62" s="165" t="str">
        <f>IF(Table2[[#This Row],[Counter Number]]="","",IF(Application!$J$25="Case-by-Case","NA",Table2[[#This Row],[Fiscal Year of EPA Funds Used:]]+Table2[[#This Row],[Remaining Life:]]))</f>
        <v/>
      </c>
      <c r="AJ62" s="165"/>
      <c r="AK62" s="170" t="str">
        <f>IF(Table2[[#This Row],[Counter Number]]="","",Application!$D$14+1)</f>
        <v/>
      </c>
      <c r="AL62" s="60" t="str">
        <f>IF(Table2[[#This Row],[Counter Number]]="","","Vehicle Replacement")</f>
        <v/>
      </c>
      <c r="AM6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2" s="171" t="str">
        <f>IF(Table2[[#This Row],[Counter Number]]="","",Table1[[#This Row],[Cost of New Bus:]])</f>
        <v/>
      </c>
      <c r="AO62" s="60" t="str">
        <f>IF(Table2[[#This Row],[Counter Number]]="","","NA")</f>
        <v/>
      </c>
      <c r="AP62" s="165" t="str">
        <f>IF(Table2[[#This Row],[Counter Number]]="","",Table1[[#This Row],[New Engine Model Year:]])</f>
        <v/>
      </c>
      <c r="AQ62" s="60" t="str">
        <f>IF(Table2[[#This Row],[Counter Number]]="","","NA")</f>
        <v/>
      </c>
      <c r="AR62" s="165" t="str">
        <f>IF(Table2[[#This Row],[Counter Number]]="","",Table1[[#This Row],[New Engine Horsepower (HP):]])</f>
        <v/>
      </c>
      <c r="AS62" s="60" t="str">
        <f>IF(Table2[[#This Row],[Counter Number]]="","","NA")</f>
        <v/>
      </c>
      <c r="AT62" s="165" t="str">
        <f>IF(Table2[[#This Row],[Counter Number]]="","",Table1[[#This Row],[New Engine Cylinder Displacement (L):]]&amp;" L")</f>
        <v/>
      </c>
      <c r="AU62" s="114" t="str">
        <f>IF(Table2[[#This Row],[Counter Number]]="","",Table1[[#This Row],[New Engine Number of Cylinders:]])</f>
        <v/>
      </c>
      <c r="AV62" s="60" t="str">
        <f>IF(Table2[[#This Row],[Counter Number]]="","",Table1[[#This Row],[New Engine Family Name:]])</f>
        <v/>
      </c>
      <c r="AW6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2" s="60" t="str">
        <f>IF(Table2[[#This Row],[Counter Number]]="","","NA")</f>
        <v/>
      </c>
      <c r="AY62" s="172" t="str">
        <f>IF(Table2[[#This Row],[Counter Number]]="","",IF(Table2[[#This Row],[New Engine Fuel Type:]]="ULSD",Table1[[#This Row],[Annual Miles Traveled]]/Table1[[#This Row],[New Fuel (mpg) if Diesel]],""))</f>
        <v/>
      </c>
      <c r="AZ62" s="60"/>
      <c r="BA62" s="173" t="str">
        <f>IF(Table2[[#This Row],[Counter Number]]="","",Table2[[#This Row],[Annual Miles Traveled:]]*VLOOKUP(Table2[[#This Row],[Engine Model Year:]],EFTable[],3,FALSE))</f>
        <v/>
      </c>
      <c r="BB62" s="173" t="str">
        <f>IF(Table2[[#This Row],[Counter Number]]="","",Table2[[#This Row],[Annual Miles Traveled:]]*IF(Table2[[#This Row],[New Engine Fuel Type:]]="ULSD",VLOOKUP(Table2[[#This Row],[New Engine Model Year:]],EFTable[],3,FALSE),VLOOKUP(Table2[[#This Row],[New Engine Fuel Type:]],EFTable[],3,FALSE)))</f>
        <v/>
      </c>
      <c r="BC62" s="187" t="str">
        <f>IF(Table2[[#This Row],[Counter Number]]="","",Table2[[#This Row],[Old Bus NOx Emissions (tons/yr)]]-Table2[[#This Row],[New Bus NOx Emissions (tons/yr)]])</f>
        <v/>
      </c>
      <c r="BD62" s="188" t="str">
        <f>IF(Table2[[#This Row],[Counter Number]]="","",Table2[[#This Row],[Reduction Bus NOx Emissions (tons/yr)]]/Table2[[#This Row],[Old Bus NOx Emissions (tons/yr)]])</f>
        <v/>
      </c>
      <c r="BE62" s="175" t="str">
        <f>IF(Table2[[#This Row],[Counter Number]]="","",Table2[[#This Row],[Reduction Bus NOx Emissions (tons/yr)]]*Table2[[#This Row],[Remaining Life:]])</f>
        <v/>
      </c>
      <c r="BF62" s="189" t="str">
        <f>IF(Table2[[#This Row],[Counter Number]]="","",IF(Table2[[#This Row],[Lifetime NOx Reduction (tons)]]=0,"NA",Table2[[#This Row],[Upgrade Cost Per Unit]]/Table2[[#This Row],[Lifetime NOx Reduction (tons)]]))</f>
        <v/>
      </c>
      <c r="BG62" s="190" t="str">
        <f>IF(Table2[[#This Row],[Counter Number]]="","",Table2[[#This Row],[Annual Miles Traveled:]]*VLOOKUP(Table2[[#This Row],[Engine Model Year:]],EF!$A$2:$G$27,4,FALSE))</f>
        <v/>
      </c>
      <c r="BH62" s="173" t="str">
        <f>IF(Table2[[#This Row],[Counter Number]]="","",Table2[[#This Row],[Annual Miles Traveled:]]*IF(Table2[[#This Row],[New Engine Fuel Type:]]="ULSD",VLOOKUP(Table2[[#This Row],[New Engine Model Year:]],EFTable[],4,FALSE),VLOOKUP(Table2[[#This Row],[New Engine Fuel Type:]],EFTable[],4,FALSE)))</f>
        <v/>
      </c>
      <c r="BI62" s="191" t="str">
        <f>IF(Table2[[#This Row],[Counter Number]]="","",Table2[[#This Row],[Old Bus PM2.5 Emissions (tons/yr)]]-Table2[[#This Row],[New Bus PM2.5 Emissions (tons/yr)]])</f>
        <v/>
      </c>
      <c r="BJ62" s="192" t="str">
        <f>IF(Table2[[#This Row],[Counter Number]]="","",Table2[[#This Row],[Reduction Bus PM2.5 Emissions (tons/yr)]]/Table2[[#This Row],[Old Bus PM2.5 Emissions (tons/yr)]])</f>
        <v/>
      </c>
      <c r="BK62" s="193" t="str">
        <f>IF(Table2[[#This Row],[Counter Number]]="","",Table2[[#This Row],[Reduction Bus PM2.5 Emissions (tons/yr)]]*Table2[[#This Row],[Remaining Life:]])</f>
        <v/>
      </c>
      <c r="BL62" s="194" t="str">
        <f>IF(Table2[[#This Row],[Counter Number]]="","",IF(Table2[[#This Row],[Lifetime PM2.5 Reduction (tons)]]=0,"NA",Table2[[#This Row],[Upgrade Cost Per Unit]]/Table2[[#This Row],[Lifetime PM2.5 Reduction (tons)]]))</f>
        <v/>
      </c>
      <c r="BM62" s="179" t="str">
        <f>IF(Table2[[#This Row],[Counter Number]]="","",Table2[[#This Row],[Annual Miles Traveled:]]*VLOOKUP(Table2[[#This Row],[Engine Model Year:]],EF!$A$2:$G$40,5,FALSE))</f>
        <v/>
      </c>
      <c r="BN62" s="173" t="str">
        <f>IF(Table2[[#This Row],[Counter Number]]="","",Table2[[#This Row],[Annual Miles Traveled:]]*IF(Table2[[#This Row],[New Engine Fuel Type:]]="ULSD",VLOOKUP(Table2[[#This Row],[New Engine Model Year:]],EFTable[],5,FALSE),VLOOKUP(Table2[[#This Row],[New Engine Fuel Type:]],EFTable[],5,FALSE)))</f>
        <v/>
      </c>
      <c r="BO62" s="190" t="str">
        <f>IF(Table2[[#This Row],[Counter Number]]="","",Table2[[#This Row],[Old Bus HC Emissions (tons/yr)]]-Table2[[#This Row],[New Bus HC Emissions (tons/yr)]])</f>
        <v/>
      </c>
      <c r="BP62" s="188" t="str">
        <f>IF(Table2[[#This Row],[Counter Number]]="","",Table2[[#This Row],[Reduction Bus HC Emissions (tons/yr)]]/Table2[[#This Row],[Old Bus HC Emissions (tons/yr)]])</f>
        <v/>
      </c>
      <c r="BQ62" s="193" t="str">
        <f>IF(Table2[[#This Row],[Counter Number]]="","",Table2[[#This Row],[Reduction Bus HC Emissions (tons/yr)]]*Table2[[#This Row],[Remaining Life:]])</f>
        <v/>
      </c>
      <c r="BR62" s="194" t="str">
        <f>IF(Table2[[#This Row],[Counter Number]]="","",IF(Table2[[#This Row],[Lifetime HC Reduction (tons)]]=0,"NA",Table2[[#This Row],[Upgrade Cost Per Unit]]/Table2[[#This Row],[Lifetime HC Reduction (tons)]]))</f>
        <v/>
      </c>
      <c r="BS62" s="191" t="str">
        <f>IF(Table2[[#This Row],[Counter Number]]="","",Table2[[#This Row],[Annual Miles Traveled:]]*VLOOKUP(Table2[[#This Row],[Engine Model Year:]],EF!$A$2:$G$27,6,FALSE))</f>
        <v/>
      </c>
      <c r="BT62" s="173" t="str">
        <f>IF(Table2[[#This Row],[Counter Number]]="","",Table2[[#This Row],[Annual Miles Traveled:]]*IF(Table2[[#This Row],[New Engine Fuel Type:]]="ULSD",VLOOKUP(Table2[[#This Row],[New Engine Model Year:]],EFTable[],6,FALSE),VLOOKUP(Table2[[#This Row],[New Engine Fuel Type:]],EFTable[],6,FALSE)))</f>
        <v/>
      </c>
      <c r="BU62" s="190" t="str">
        <f>IF(Table2[[#This Row],[Counter Number]]="","",Table2[[#This Row],[Old Bus CO Emissions (tons/yr)]]-Table2[[#This Row],[New Bus CO Emissions (tons/yr)]])</f>
        <v/>
      </c>
      <c r="BV62" s="188" t="str">
        <f>IF(Table2[[#This Row],[Counter Number]]="","",Table2[[#This Row],[Reduction Bus CO Emissions (tons/yr)]]/Table2[[#This Row],[Old Bus CO Emissions (tons/yr)]])</f>
        <v/>
      </c>
      <c r="BW62" s="193" t="str">
        <f>IF(Table2[[#This Row],[Counter Number]]="","",Table2[[#This Row],[Reduction Bus CO Emissions (tons/yr)]]*Table2[[#This Row],[Remaining Life:]])</f>
        <v/>
      </c>
      <c r="BX62" s="194" t="str">
        <f>IF(Table2[[#This Row],[Counter Number]]="","",IF(Table2[[#This Row],[Lifetime CO Reduction (tons)]]=0,"NA",Table2[[#This Row],[Upgrade Cost Per Unit]]/Table2[[#This Row],[Lifetime CO Reduction (tons)]]))</f>
        <v/>
      </c>
      <c r="BY62" s="180" t="str">
        <f>IF(Table2[[#This Row],[Counter Number]]="","",Table2[[#This Row],[Old ULSD Used (gal):]]*VLOOKUP(Table2[[#This Row],[Engine Model Year:]],EF!$A$2:$G$27,7,FALSE))</f>
        <v/>
      </c>
      <c r="BZ6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2" s="195" t="str">
        <f>IF(Table2[[#This Row],[Counter Number]]="","",Table2[[#This Row],[Old Bus CO2 Emissions (tons/yr)]]-Table2[[#This Row],[New Bus CO2 Emissions (tons/yr)]])</f>
        <v/>
      </c>
      <c r="CB62" s="188" t="str">
        <f>IF(Table2[[#This Row],[Counter Number]]="","",Table2[[#This Row],[Reduction Bus CO2 Emissions (tons/yr)]]/Table2[[#This Row],[Old Bus CO2 Emissions (tons/yr)]])</f>
        <v/>
      </c>
      <c r="CC62" s="195" t="str">
        <f>IF(Table2[[#This Row],[Counter Number]]="","",Table2[[#This Row],[Reduction Bus CO2 Emissions (tons/yr)]]*Table2[[#This Row],[Remaining Life:]])</f>
        <v/>
      </c>
      <c r="CD62" s="194" t="str">
        <f>IF(Table2[[#This Row],[Counter Number]]="","",IF(Table2[[#This Row],[Lifetime CO2 Reduction (tons)]]=0,"NA",Table2[[#This Row],[Upgrade Cost Per Unit]]/Table2[[#This Row],[Lifetime CO2 Reduction (tons)]]))</f>
        <v/>
      </c>
      <c r="CE62" s="182" t="str">
        <f>IF(Table2[[#This Row],[Counter Number]]="","",IF(Table2[[#This Row],[New ULSD Used (gal):]]="",Table2[[#This Row],[Old ULSD Used (gal):]],Table2[[#This Row],[Old ULSD Used (gal):]]-Table2[[#This Row],[New ULSD Used (gal):]]))</f>
        <v/>
      </c>
      <c r="CF62" s="196" t="str">
        <f>IF(Table2[[#This Row],[Counter Number]]="","",Table2[[#This Row],[Diesel Fuel Reduction (gal/yr)]]/Table2[[#This Row],[Old ULSD Used (gal):]])</f>
        <v/>
      </c>
      <c r="CG62" s="197" t="str">
        <f>IF(Table2[[#This Row],[Counter Number]]="","",Table2[[#This Row],[Diesel Fuel Reduction (gal/yr)]]*Table2[[#This Row],[Remaining Life:]])</f>
        <v/>
      </c>
    </row>
    <row r="63" spans="1:85">
      <c r="A63" s="184" t="str">
        <f>IF(A62&lt;Application!$D$24,A62+1,"")</f>
        <v/>
      </c>
      <c r="B63" s="60" t="str">
        <f>IF(Table2[[#This Row],[Counter Number]]="","",Application!$D$16)</f>
        <v/>
      </c>
      <c r="C63" s="60" t="str">
        <f>IF(Table2[[#This Row],[Counter Number]]="","",Application!$D$14)</f>
        <v/>
      </c>
      <c r="D63" s="60" t="str">
        <f>IF(Table2[[#This Row],[Counter Number]]="","",Table1[[#This Row],[Old Bus Number]])</f>
        <v/>
      </c>
      <c r="E63" s="60" t="str">
        <f>IF(Table2[[#This Row],[Counter Number]]="","",Application!$D$15)</f>
        <v/>
      </c>
      <c r="F63" s="60" t="str">
        <f>IF(Table2[[#This Row],[Counter Number]]="","","On Highway")</f>
        <v/>
      </c>
      <c r="G63" s="60" t="str">
        <f>IF(Table2[[#This Row],[Counter Number]]="","",I63)</f>
        <v/>
      </c>
      <c r="H63" s="60" t="str">
        <f>IF(Table2[[#This Row],[Counter Number]]="","","Georgia")</f>
        <v/>
      </c>
      <c r="I63" s="60" t="str">
        <f>IF(Table2[[#This Row],[Counter Number]]="","",Application!$D$16)</f>
        <v/>
      </c>
      <c r="J63" s="60" t="str">
        <f>IF(Table2[[#This Row],[Counter Number]]="","",Application!$D$21)</f>
        <v/>
      </c>
      <c r="K63" s="60" t="str">
        <f>IF(Table2[[#This Row],[Counter Number]]="","",Application!$J$21)</f>
        <v/>
      </c>
      <c r="L63" s="60" t="str">
        <f>IF(Table2[[#This Row],[Counter Number]]="","","School Bus")</f>
        <v/>
      </c>
      <c r="M63" s="60" t="str">
        <f>IF(Table2[[#This Row],[Counter Number]]="","","School Bus")</f>
        <v/>
      </c>
      <c r="N63" s="60" t="str">
        <f>IF(Table2[[#This Row],[Counter Number]]="","",1)</f>
        <v/>
      </c>
      <c r="O63" s="60" t="str">
        <f>IF(Table2[[#This Row],[Counter Number]]="","",Table1[[#This Row],[Vehicle Identification Number(s):]])</f>
        <v/>
      </c>
      <c r="P63" s="60" t="str">
        <f>IF(Table2[[#This Row],[Counter Number]]="","",Table1[[#This Row],[Old Bus Manufacturer:]])</f>
        <v/>
      </c>
      <c r="Q63" s="60" t="str">
        <f>IF(Table2[[#This Row],[Counter Number]]="","",Table1[[#This Row],[Vehicle Model:]])</f>
        <v/>
      </c>
      <c r="R63" s="165" t="str">
        <f>IF(Table2[[#This Row],[Counter Number]]="","",Table1[[#This Row],[Vehicle Model Year:]])</f>
        <v/>
      </c>
      <c r="S63" s="60" t="str">
        <f>IF(Table2[[#This Row],[Counter Number]]="","",Table1[[#This Row],[Engine Serial Number(s):]])</f>
        <v/>
      </c>
      <c r="T63" s="60" t="str">
        <f>IF(Table2[[#This Row],[Counter Number]]="","",Table1[[#This Row],[Engine Make:]])</f>
        <v/>
      </c>
      <c r="U63" s="60" t="str">
        <f>IF(Table2[[#This Row],[Counter Number]]="","",Table1[[#This Row],[Engine Model:]])</f>
        <v/>
      </c>
      <c r="V63" s="165" t="str">
        <f>IF(Table2[[#This Row],[Counter Number]]="","",Table1[[#This Row],[Engine Model Year:]])</f>
        <v/>
      </c>
      <c r="W63" s="60" t="str">
        <f>IF(Table2[[#This Row],[Counter Number]]="","","NA")</f>
        <v/>
      </c>
      <c r="X63" s="165" t="str">
        <f>IF(Table2[[#This Row],[Counter Number]]="","",Table1[[#This Row],[Engine Horsepower (HP):]])</f>
        <v/>
      </c>
      <c r="Y63" s="165" t="str">
        <f>IF(Table2[[#This Row],[Counter Number]]="","",Table1[[#This Row],[Engine Cylinder Displacement (L):]]&amp;" L")</f>
        <v/>
      </c>
      <c r="Z63" s="165" t="str">
        <f>IF(Table2[[#This Row],[Counter Number]]="","",Table1[[#This Row],[Engine Number of Cylinders:]])</f>
        <v/>
      </c>
      <c r="AA63" s="166" t="str">
        <f>IF(Table2[[#This Row],[Counter Number]]="","",Table1[[#This Row],[Engine Family Name:]])</f>
        <v/>
      </c>
      <c r="AB63" s="60" t="str">
        <f>IF(Table2[[#This Row],[Counter Number]]="","","ULSD")</f>
        <v/>
      </c>
      <c r="AC63" s="167" t="str">
        <f>IF(Table2[[#This Row],[Counter Number]]="","",Table2[[#This Row],[Annual Miles Traveled:]]/Table1[[#This Row],[Old Fuel (mpg)]])</f>
        <v/>
      </c>
      <c r="AD63" s="60" t="str">
        <f>IF(Table2[[#This Row],[Counter Number]]="","","NA")</f>
        <v/>
      </c>
      <c r="AE63" s="168" t="str">
        <f>IF(Table2[[#This Row],[Counter Number]]="","",Table1[[#This Row],[Annual Miles Traveled]])</f>
        <v/>
      </c>
      <c r="AF63" s="169" t="str">
        <f>IF(Table2[[#This Row],[Counter Number]]="","",Table1[[#This Row],[Annual Idling Hours:]])</f>
        <v/>
      </c>
      <c r="AG63" s="60" t="str">
        <f>IF(Table2[[#This Row],[Counter Number]]="","","NA")</f>
        <v/>
      </c>
      <c r="AH63" s="165" t="str">
        <f>IF(Table2[[#This Row],[Counter Number]]="","",IF(Application!$J$25="Set Policy",Table1[[#This Row],[Remaining Life (years)         Set Policy]],Table1[[#This Row],[Remaining Life (years)               Case-by-Case]]))</f>
        <v/>
      </c>
      <c r="AI63" s="165" t="str">
        <f>IF(Table2[[#This Row],[Counter Number]]="","",IF(Application!$J$25="Case-by-Case","NA",Table2[[#This Row],[Fiscal Year of EPA Funds Used:]]+Table2[[#This Row],[Remaining Life:]]))</f>
        <v/>
      </c>
      <c r="AJ63" s="165"/>
      <c r="AK63" s="170" t="str">
        <f>IF(Table2[[#This Row],[Counter Number]]="","",Application!$D$14+1)</f>
        <v/>
      </c>
      <c r="AL63" s="60" t="str">
        <f>IF(Table2[[#This Row],[Counter Number]]="","","Vehicle Replacement")</f>
        <v/>
      </c>
      <c r="AM6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3" s="171" t="str">
        <f>IF(Table2[[#This Row],[Counter Number]]="","",Table1[[#This Row],[Cost of New Bus:]])</f>
        <v/>
      </c>
      <c r="AO63" s="60" t="str">
        <f>IF(Table2[[#This Row],[Counter Number]]="","","NA")</f>
        <v/>
      </c>
      <c r="AP63" s="165" t="str">
        <f>IF(Table2[[#This Row],[Counter Number]]="","",Table1[[#This Row],[New Engine Model Year:]])</f>
        <v/>
      </c>
      <c r="AQ63" s="60" t="str">
        <f>IF(Table2[[#This Row],[Counter Number]]="","","NA")</f>
        <v/>
      </c>
      <c r="AR63" s="165" t="str">
        <f>IF(Table2[[#This Row],[Counter Number]]="","",Table1[[#This Row],[New Engine Horsepower (HP):]])</f>
        <v/>
      </c>
      <c r="AS63" s="60" t="str">
        <f>IF(Table2[[#This Row],[Counter Number]]="","","NA")</f>
        <v/>
      </c>
      <c r="AT63" s="165" t="str">
        <f>IF(Table2[[#This Row],[Counter Number]]="","",Table1[[#This Row],[New Engine Cylinder Displacement (L):]]&amp;" L")</f>
        <v/>
      </c>
      <c r="AU63" s="114" t="str">
        <f>IF(Table2[[#This Row],[Counter Number]]="","",Table1[[#This Row],[New Engine Number of Cylinders:]])</f>
        <v/>
      </c>
      <c r="AV63" s="60" t="str">
        <f>IF(Table2[[#This Row],[Counter Number]]="","",Table1[[#This Row],[New Engine Family Name:]])</f>
        <v/>
      </c>
      <c r="AW6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3" s="60" t="str">
        <f>IF(Table2[[#This Row],[Counter Number]]="","","NA")</f>
        <v/>
      </c>
      <c r="AY63" s="172" t="str">
        <f>IF(Table2[[#This Row],[Counter Number]]="","",IF(Table2[[#This Row],[New Engine Fuel Type:]]="ULSD",Table1[[#This Row],[Annual Miles Traveled]]/Table1[[#This Row],[New Fuel (mpg) if Diesel]],""))</f>
        <v/>
      </c>
      <c r="AZ63" s="60"/>
      <c r="BA63" s="173" t="str">
        <f>IF(Table2[[#This Row],[Counter Number]]="","",Table2[[#This Row],[Annual Miles Traveled:]]*VLOOKUP(Table2[[#This Row],[Engine Model Year:]],EFTable[],3,FALSE))</f>
        <v/>
      </c>
      <c r="BB63" s="173" t="str">
        <f>IF(Table2[[#This Row],[Counter Number]]="","",Table2[[#This Row],[Annual Miles Traveled:]]*IF(Table2[[#This Row],[New Engine Fuel Type:]]="ULSD",VLOOKUP(Table2[[#This Row],[New Engine Model Year:]],EFTable[],3,FALSE),VLOOKUP(Table2[[#This Row],[New Engine Fuel Type:]],EFTable[],3,FALSE)))</f>
        <v/>
      </c>
      <c r="BC63" s="187" t="str">
        <f>IF(Table2[[#This Row],[Counter Number]]="","",Table2[[#This Row],[Old Bus NOx Emissions (tons/yr)]]-Table2[[#This Row],[New Bus NOx Emissions (tons/yr)]])</f>
        <v/>
      </c>
      <c r="BD63" s="188" t="str">
        <f>IF(Table2[[#This Row],[Counter Number]]="","",Table2[[#This Row],[Reduction Bus NOx Emissions (tons/yr)]]/Table2[[#This Row],[Old Bus NOx Emissions (tons/yr)]])</f>
        <v/>
      </c>
      <c r="BE63" s="175" t="str">
        <f>IF(Table2[[#This Row],[Counter Number]]="","",Table2[[#This Row],[Reduction Bus NOx Emissions (tons/yr)]]*Table2[[#This Row],[Remaining Life:]])</f>
        <v/>
      </c>
      <c r="BF63" s="189" t="str">
        <f>IF(Table2[[#This Row],[Counter Number]]="","",IF(Table2[[#This Row],[Lifetime NOx Reduction (tons)]]=0,"NA",Table2[[#This Row],[Upgrade Cost Per Unit]]/Table2[[#This Row],[Lifetime NOx Reduction (tons)]]))</f>
        <v/>
      </c>
      <c r="BG63" s="190" t="str">
        <f>IF(Table2[[#This Row],[Counter Number]]="","",Table2[[#This Row],[Annual Miles Traveled:]]*VLOOKUP(Table2[[#This Row],[Engine Model Year:]],EF!$A$2:$G$27,4,FALSE))</f>
        <v/>
      </c>
      <c r="BH63" s="173" t="str">
        <f>IF(Table2[[#This Row],[Counter Number]]="","",Table2[[#This Row],[Annual Miles Traveled:]]*IF(Table2[[#This Row],[New Engine Fuel Type:]]="ULSD",VLOOKUP(Table2[[#This Row],[New Engine Model Year:]],EFTable[],4,FALSE),VLOOKUP(Table2[[#This Row],[New Engine Fuel Type:]],EFTable[],4,FALSE)))</f>
        <v/>
      </c>
      <c r="BI63" s="191" t="str">
        <f>IF(Table2[[#This Row],[Counter Number]]="","",Table2[[#This Row],[Old Bus PM2.5 Emissions (tons/yr)]]-Table2[[#This Row],[New Bus PM2.5 Emissions (tons/yr)]])</f>
        <v/>
      </c>
      <c r="BJ63" s="192" t="str">
        <f>IF(Table2[[#This Row],[Counter Number]]="","",Table2[[#This Row],[Reduction Bus PM2.5 Emissions (tons/yr)]]/Table2[[#This Row],[Old Bus PM2.5 Emissions (tons/yr)]])</f>
        <v/>
      </c>
      <c r="BK63" s="193" t="str">
        <f>IF(Table2[[#This Row],[Counter Number]]="","",Table2[[#This Row],[Reduction Bus PM2.5 Emissions (tons/yr)]]*Table2[[#This Row],[Remaining Life:]])</f>
        <v/>
      </c>
      <c r="BL63" s="194" t="str">
        <f>IF(Table2[[#This Row],[Counter Number]]="","",IF(Table2[[#This Row],[Lifetime PM2.5 Reduction (tons)]]=0,"NA",Table2[[#This Row],[Upgrade Cost Per Unit]]/Table2[[#This Row],[Lifetime PM2.5 Reduction (tons)]]))</f>
        <v/>
      </c>
      <c r="BM63" s="179" t="str">
        <f>IF(Table2[[#This Row],[Counter Number]]="","",Table2[[#This Row],[Annual Miles Traveled:]]*VLOOKUP(Table2[[#This Row],[Engine Model Year:]],EF!$A$2:$G$40,5,FALSE))</f>
        <v/>
      </c>
      <c r="BN63" s="173" t="str">
        <f>IF(Table2[[#This Row],[Counter Number]]="","",Table2[[#This Row],[Annual Miles Traveled:]]*IF(Table2[[#This Row],[New Engine Fuel Type:]]="ULSD",VLOOKUP(Table2[[#This Row],[New Engine Model Year:]],EFTable[],5,FALSE),VLOOKUP(Table2[[#This Row],[New Engine Fuel Type:]],EFTable[],5,FALSE)))</f>
        <v/>
      </c>
      <c r="BO63" s="190" t="str">
        <f>IF(Table2[[#This Row],[Counter Number]]="","",Table2[[#This Row],[Old Bus HC Emissions (tons/yr)]]-Table2[[#This Row],[New Bus HC Emissions (tons/yr)]])</f>
        <v/>
      </c>
      <c r="BP63" s="188" t="str">
        <f>IF(Table2[[#This Row],[Counter Number]]="","",Table2[[#This Row],[Reduction Bus HC Emissions (tons/yr)]]/Table2[[#This Row],[Old Bus HC Emissions (tons/yr)]])</f>
        <v/>
      </c>
      <c r="BQ63" s="193" t="str">
        <f>IF(Table2[[#This Row],[Counter Number]]="","",Table2[[#This Row],[Reduction Bus HC Emissions (tons/yr)]]*Table2[[#This Row],[Remaining Life:]])</f>
        <v/>
      </c>
      <c r="BR63" s="194" t="str">
        <f>IF(Table2[[#This Row],[Counter Number]]="","",IF(Table2[[#This Row],[Lifetime HC Reduction (tons)]]=0,"NA",Table2[[#This Row],[Upgrade Cost Per Unit]]/Table2[[#This Row],[Lifetime HC Reduction (tons)]]))</f>
        <v/>
      </c>
      <c r="BS63" s="191" t="str">
        <f>IF(Table2[[#This Row],[Counter Number]]="","",Table2[[#This Row],[Annual Miles Traveled:]]*VLOOKUP(Table2[[#This Row],[Engine Model Year:]],EF!$A$2:$G$27,6,FALSE))</f>
        <v/>
      </c>
      <c r="BT63" s="173" t="str">
        <f>IF(Table2[[#This Row],[Counter Number]]="","",Table2[[#This Row],[Annual Miles Traveled:]]*IF(Table2[[#This Row],[New Engine Fuel Type:]]="ULSD",VLOOKUP(Table2[[#This Row],[New Engine Model Year:]],EFTable[],6,FALSE),VLOOKUP(Table2[[#This Row],[New Engine Fuel Type:]],EFTable[],6,FALSE)))</f>
        <v/>
      </c>
      <c r="BU63" s="190" t="str">
        <f>IF(Table2[[#This Row],[Counter Number]]="","",Table2[[#This Row],[Old Bus CO Emissions (tons/yr)]]-Table2[[#This Row],[New Bus CO Emissions (tons/yr)]])</f>
        <v/>
      </c>
      <c r="BV63" s="188" t="str">
        <f>IF(Table2[[#This Row],[Counter Number]]="","",Table2[[#This Row],[Reduction Bus CO Emissions (tons/yr)]]/Table2[[#This Row],[Old Bus CO Emissions (tons/yr)]])</f>
        <v/>
      </c>
      <c r="BW63" s="193" t="str">
        <f>IF(Table2[[#This Row],[Counter Number]]="","",Table2[[#This Row],[Reduction Bus CO Emissions (tons/yr)]]*Table2[[#This Row],[Remaining Life:]])</f>
        <v/>
      </c>
      <c r="BX63" s="194" t="str">
        <f>IF(Table2[[#This Row],[Counter Number]]="","",IF(Table2[[#This Row],[Lifetime CO Reduction (tons)]]=0,"NA",Table2[[#This Row],[Upgrade Cost Per Unit]]/Table2[[#This Row],[Lifetime CO Reduction (tons)]]))</f>
        <v/>
      </c>
      <c r="BY63" s="180" t="str">
        <f>IF(Table2[[#This Row],[Counter Number]]="","",Table2[[#This Row],[Old ULSD Used (gal):]]*VLOOKUP(Table2[[#This Row],[Engine Model Year:]],EF!$A$2:$G$27,7,FALSE))</f>
        <v/>
      </c>
      <c r="BZ6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3" s="195" t="str">
        <f>IF(Table2[[#This Row],[Counter Number]]="","",Table2[[#This Row],[Old Bus CO2 Emissions (tons/yr)]]-Table2[[#This Row],[New Bus CO2 Emissions (tons/yr)]])</f>
        <v/>
      </c>
      <c r="CB63" s="188" t="str">
        <f>IF(Table2[[#This Row],[Counter Number]]="","",Table2[[#This Row],[Reduction Bus CO2 Emissions (tons/yr)]]/Table2[[#This Row],[Old Bus CO2 Emissions (tons/yr)]])</f>
        <v/>
      </c>
      <c r="CC63" s="195" t="str">
        <f>IF(Table2[[#This Row],[Counter Number]]="","",Table2[[#This Row],[Reduction Bus CO2 Emissions (tons/yr)]]*Table2[[#This Row],[Remaining Life:]])</f>
        <v/>
      </c>
      <c r="CD63" s="194" t="str">
        <f>IF(Table2[[#This Row],[Counter Number]]="","",IF(Table2[[#This Row],[Lifetime CO2 Reduction (tons)]]=0,"NA",Table2[[#This Row],[Upgrade Cost Per Unit]]/Table2[[#This Row],[Lifetime CO2 Reduction (tons)]]))</f>
        <v/>
      </c>
      <c r="CE63" s="182" t="str">
        <f>IF(Table2[[#This Row],[Counter Number]]="","",IF(Table2[[#This Row],[New ULSD Used (gal):]]="",Table2[[#This Row],[Old ULSD Used (gal):]],Table2[[#This Row],[Old ULSD Used (gal):]]-Table2[[#This Row],[New ULSD Used (gal):]]))</f>
        <v/>
      </c>
      <c r="CF63" s="196" t="str">
        <f>IF(Table2[[#This Row],[Counter Number]]="","",Table2[[#This Row],[Diesel Fuel Reduction (gal/yr)]]/Table2[[#This Row],[Old ULSD Used (gal):]])</f>
        <v/>
      </c>
      <c r="CG63" s="197" t="str">
        <f>IF(Table2[[#This Row],[Counter Number]]="","",Table2[[#This Row],[Diesel Fuel Reduction (gal/yr)]]*Table2[[#This Row],[Remaining Life:]])</f>
        <v/>
      </c>
    </row>
    <row r="64" spans="1:85">
      <c r="A64" s="184" t="str">
        <f>IF(A63&lt;Application!$D$24,A63+1,"")</f>
        <v/>
      </c>
      <c r="B64" s="60" t="str">
        <f>IF(Table2[[#This Row],[Counter Number]]="","",Application!$D$16)</f>
        <v/>
      </c>
      <c r="C64" s="60" t="str">
        <f>IF(Table2[[#This Row],[Counter Number]]="","",Application!$D$14)</f>
        <v/>
      </c>
      <c r="D64" s="60" t="str">
        <f>IF(Table2[[#This Row],[Counter Number]]="","",Table1[[#This Row],[Old Bus Number]])</f>
        <v/>
      </c>
      <c r="E64" s="60" t="str">
        <f>IF(Table2[[#This Row],[Counter Number]]="","",Application!$D$15)</f>
        <v/>
      </c>
      <c r="F64" s="60" t="str">
        <f>IF(Table2[[#This Row],[Counter Number]]="","","On Highway")</f>
        <v/>
      </c>
      <c r="G64" s="60" t="str">
        <f>IF(Table2[[#This Row],[Counter Number]]="","",I64)</f>
        <v/>
      </c>
      <c r="H64" s="60" t="str">
        <f>IF(Table2[[#This Row],[Counter Number]]="","","Georgia")</f>
        <v/>
      </c>
      <c r="I64" s="60" t="str">
        <f>IF(Table2[[#This Row],[Counter Number]]="","",Application!$D$16)</f>
        <v/>
      </c>
      <c r="J64" s="60" t="str">
        <f>IF(Table2[[#This Row],[Counter Number]]="","",Application!$D$21)</f>
        <v/>
      </c>
      <c r="K64" s="60" t="str">
        <f>IF(Table2[[#This Row],[Counter Number]]="","",Application!$J$21)</f>
        <v/>
      </c>
      <c r="L64" s="60" t="str">
        <f>IF(Table2[[#This Row],[Counter Number]]="","","School Bus")</f>
        <v/>
      </c>
      <c r="M64" s="60" t="str">
        <f>IF(Table2[[#This Row],[Counter Number]]="","","School Bus")</f>
        <v/>
      </c>
      <c r="N64" s="60" t="str">
        <f>IF(Table2[[#This Row],[Counter Number]]="","",1)</f>
        <v/>
      </c>
      <c r="O64" s="60" t="str">
        <f>IF(Table2[[#This Row],[Counter Number]]="","",Table1[[#This Row],[Vehicle Identification Number(s):]])</f>
        <v/>
      </c>
      <c r="P64" s="60" t="str">
        <f>IF(Table2[[#This Row],[Counter Number]]="","",Table1[[#This Row],[Old Bus Manufacturer:]])</f>
        <v/>
      </c>
      <c r="Q64" s="60" t="str">
        <f>IF(Table2[[#This Row],[Counter Number]]="","",Table1[[#This Row],[Vehicle Model:]])</f>
        <v/>
      </c>
      <c r="R64" s="165" t="str">
        <f>IF(Table2[[#This Row],[Counter Number]]="","",Table1[[#This Row],[Vehicle Model Year:]])</f>
        <v/>
      </c>
      <c r="S64" s="60" t="str">
        <f>IF(Table2[[#This Row],[Counter Number]]="","",Table1[[#This Row],[Engine Serial Number(s):]])</f>
        <v/>
      </c>
      <c r="T64" s="60" t="str">
        <f>IF(Table2[[#This Row],[Counter Number]]="","",Table1[[#This Row],[Engine Make:]])</f>
        <v/>
      </c>
      <c r="U64" s="60" t="str">
        <f>IF(Table2[[#This Row],[Counter Number]]="","",Table1[[#This Row],[Engine Model:]])</f>
        <v/>
      </c>
      <c r="V64" s="165" t="str">
        <f>IF(Table2[[#This Row],[Counter Number]]="","",Table1[[#This Row],[Engine Model Year:]])</f>
        <v/>
      </c>
      <c r="W64" s="60" t="str">
        <f>IF(Table2[[#This Row],[Counter Number]]="","","NA")</f>
        <v/>
      </c>
      <c r="X64" s="165" t="str">
        <f>IF(Table2[[#This Row],[Counter Number]]="","",Table1[[#This Row],[Engine Horsepower (HP):]])</f>
        <v/>
      </c>
      <c r="Y64" s="165" t="str">
        <f>IF(Table2[[#This Row],[Counter Number]]="","",Table1[[#This Row],[Engine Cylinder Displacement (L):]]&amp;" L")</f>
        <v/>
      </c>
      <c r="Z64" s="165" t="str">
        <f>IF(Table2[[#This Row],[Counter Number]]="","",Table1[[#This Row],[Engine Number of Cylinders:]])</f>
        <v/>
      </c>
      <c r="AA64" s="166" t="str">
        <f>IF(Table2[[#This Row],[Counter Number]]="","",Table1[[#This Row],[Engine Family Name:]])</f>
        <v/>
      </c>
      <c r="AB64" s="60" t="str">
        <f>IF(Table2[[#This Row],[Counter Number]]="","","ULSD")</f>
        <v/>
      </c>
      <c r="AC64" s="167" t="str">
        <f>IF(Table2[[#This Row],[Counter Number]]="","",Table2[[#This Row],[Annual Miles Traveled:]]/Table1[[#This Row],[Old Fuel (mpg)]])</f>
        <v/>
      </c>
      <c r="AD64" s="60" t="str">
        <f>IF(Table2[[#This Row],[Counter Number]]="","","NA")</f>
        <v/>
      </c>
      <c r="AE64" s="168" t="str">
        <f>IF(Table2[[#This Row],[Counter Number]]="","",Table1[[#This Row],[Annual Miles Traveled]])</f>
        <v/>
      </c>
      <c r="AF64" s="169" t="str">
        <f>IF(Table2[[#This Row],[Counter Number]]="","",Table1[[#This Row],[Annual Idling Hours:]])</f>
        <v/>
      </c>
      <c r="AG64" s="60" t="str">
        <f>IF(Table2[[#This Row],[Counter Number]]="","","NA")</f>
        <v/>
      </c>
      <c r="AH64" s="165" t="str">
        <f>IF(Table2[[#This Row],[Counter Number]]="","",IF(Application!$J$25="Set Policy",Table1[[#This Row],[Remaining Life (years)         Set Policy]],Table1[[#This Row],[Remaining Life (years)               Case-by-Case]]))</f>
        <v/>
      </c>
      <c r="AI64" s="165" t="str">
        <f>IF(Table2[[#This Row],[Counter Number]]="","",IF(Application!$J$25="Case-by-Case","NA",Table2[[#This Row],[Fiscal Year of EPA Funds Used:]]+Table2[[#This Row],[Remaining Life:]]))</f>
        <v/>
      </c>
      <c r="AJ64" s="165"/>
      <c r="AK64" s="170" t="str">
        <f>IF(Table2[[#This Row],[Counter Number]]="","",Application!$D$14+1)</f>
        <v/>
      </c>
      <c r="AL64" s="60" t="str">
        <f>IF(Table2[[#This Row],[Counter Number]]="","","Vehicle Replacement")</f>
        <v/>
      </c>
      <c r="AM6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4" s="171" t="str">
        <f>IF(Table2[[#This Row],[Counter Number]]="","",Table1[[#This Row],[Cost of New Bus:]])</f>
        <v/>
      </c>
      <c r="AO64" s="60" t="str">
        <f>IF(Table2[[#This Row],[Counter Number]]="","","NA")</f>
        <v/>
      </c>
      <c r="AP64" s="165" t="str">
        <f>IF(Table2[[#This Row],[Counter Number]]="","",Table1[[#This Row],[New Engine Model Year:]])</f>
        <v/>
      </c>
      <c r="AQ64" s="60" t="str">
        <f>IF(Table2[[#This Row],[Counter Number]]="","","NA")</f>
        <v/>
      </c>
      <c r="AR64" s="165" t="str">
        <f>IF(Table2[[#This Row],[Counter Number]]="","",Table1[[#This Row],[New Engine Horsepower (HP):]])</f>
        <v/>
      </c>
      <c r="AS64" s="60" t="str">
        <f>IF(Table2[[#This Row],[Counter Number]]="","","NA")</f>
        <v/>
      </c>
      <c r="AT64" s="165" t="str">
        <f>IF(Table2[[#This Row],[Counter Number]]="","",Table1[[#This Row],[New Engine Cylinder Displacement (L):]]&amp;" L")</f>
        <v/>
      </c>
      <c r="AU64" s="114" t="str">
        <f>IF(Table2[[#This Row],[Counter Number]]="","",Table1[[#This Row],[New Engine Number of Cylinders:]])</f>
        <v/>
      </c>
      <c r="AV64" s="60" t="str">
        <f>IF(Table2[[#This Row],[Counter Number]]="","",Table1[[#This Row],[New Engine Family Name:]])</f>
        <v/>
      </c>
      <c r="AW6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4" s="60" t="str">
        <f>IF(Table2[[#This Row],[Counter Number]]="","","NA")</f>
        <v/>
      </c>
      <c r="AY64" s="172" t="str">
        <f>IF(Table2[[#This Row],[Counter Number]]="","",IF(Table2[[#This Row],[New Engine Fuel Type:]]="ULSD",Table1[[#This Row],[Annual Miles Traveled]]/Table1[[#This Row],[New Fuel (mpg) if Diesel]],""))</f>
        <v/>
      </c>
      <c r="AZ64" s="60"/>
      <c r="BA64" s="173" t="str">
        <f>IF(Table2[[#This Row],[Counter Number]]="","",Table2[[#This Row],[Annual Miles Traveled:]]*VLOOKUP(Table2[[#This Row],[Engine Model Year:]],EFTable[],3,FALSE))</f>
        <v/>
      </c>
      <c r="BB64" s="173" t="str">
        <f>IF(Table2[[#This Row],[Counter Number]]="","",Table2[[#This Row],[Annual Miles Traveled:]]*IF(Table2[[#This Row],[New Engine Fuel Type:]]="ULSD",VLOOKUP(Table2[[#This Row],[New Engine Model Year:]],EFTable[],3,FALSE),VLOOKUP(Table2[[#This Row],[New Engine Fuel Type:]],EFTable[],3,FALSE)))</f>
        <v/>
      </c>
      <c r="BC64" s="187" t="str">
        <f>IF(Table2[[#This Row],[Counter Number]]="","",Table2[[#This Row],[Old Bus NOx Emissions (tons/yr)]]-Table2[[#This Row],[New Bus NOx Emissions (tons/yr)]])</f>
        <v/>
      </c>
      <c r="BD64" s="188" t="str">
        <f>IF(Table2[[#This Row],[Counter Number]]="","",Table2[[#This Row],[Reduction Bus NOx Emissions (tons/yr)]]/Table2[[#This Row],[Old Bus NOx Emissions (tons/yr)]])</f>
        <v/>
      </c>
      <c r="BE64" s="175" t="str">
        <f>IF(Table2[[#This Row],[Counter Number]]="","",Table2[[#This Row],[Reduction Bus NOx Emissions (tons/yr)]]*Table2[[#This Row],[Remaining Life:]])</f>
        <v/>
      </c>
      <c r="BF64" s="189" t="str">
        <f>IF(Table2[[#This Row],[Counter Number]]="","",IF(Table2[[#This Row],[Lifetime NOx Reduction (tons)]]=0,"NA",Table2[[#This Row],[Upgrade Cost Per Unit]]/Table2[[#This Row],[Lifetime NOx Reduction (tons)]]))</f>
        <v/>
      </c>
      <c r="BG64" s="190" t="str">
        <f>IF(Table2[[#This Row],[Counter Number]]="","",Table2[[#This Row],[Annual Miles Traveled:]]*VLOOKUP(Table2[[#This Row],[Engine Model Year:]],EF!$A$2:$G$27,4,FALSE))</f>
        <v/>
      </c>
      <c r="BH64" s="173" t="str">
        <f>IF(Table2[[#This Row],[Counter Number]]="","",Table2[[#This Row],[Annual Miles Traveled:]]*IF(Table2[[#This Row],[New Engine Fuel Type:]]="ULSD",VLOOKUP(Table2[[#This Row],[New Engine Model Year:]],EFTable[],4,FALSE),VLOOKUP(Table2[[#This Row],[New Engine Fuel Type:]],EFTable[],4,FALSE)))</f>
        <v/>
      </c>
      <c r="BI64" s="191" t="str">
        <f>IF(Table2[[#This Row],[Counter Number]]="","",Table2[[#This Row],[Old Bus PM2.5 Emissions (tons/yr)]]-Table2[[#This Row],[New Bus PM2.5 Emissions (tons/yr)]])</f>
        <v/>
      </c>
      <c r="BJ64" s="192" t="str">
        <f>IF(Table2[[#This Row],[Counter Number]]="","",Table2[[#This Row],[Reduction Bus PM2.5 Emissions (tons/yr)]]/Table2[[#This Row],[Old Bus PM2.5 Emissions (tons/yr)]])</f>
        <v/>
      </c>
      <c r="BK64" s="193" t="str">
        <f>IF(Table2[[#This Row],[Counter Number]]="","",Table2[[#This Row],[Reduction Bus PM2.5 Emissions (tons/yr)]]*Table2[[#This Row],[Remaining Life:]])</f>
        <v/>
      </c>
      <c r="BL64" s="194" t="str">
        <f>IF(Table2[[#This Row],[Counter Number]]="","",IF(Table2[[#This Row],[Lifetime PM2.5 Reduction (tons)]]=0,"NA",Table2[[#This Row],[Upgrade Cost Per Unit]]/Table2[[#This Row],[Lifetime PM2.5 Reduction (tons)]]))</f>
        <v/>
      </c>
      <c r="BM64" s="179" t="str">
        <f>IF(Table2[[#This Row],[Counter Number]]="","",Table2[[#This Row],[Annual Miles Traveled:]]*VLOOKUP(Table2[[#This Row],[Engine Model Year:]],EF!$A$2:$G$40,5,FALSE))</f>
        <v/>
      </c>
      <c r="BN64" s="173" t="str">
        <f>IF(Table2[[#This Row],[Counter Number]]="","",Table2[[#This Row],[Annual Miles Traveled:]]*IF(Table2[[#This Row],[New Engine Fuel Type:]]="ULSD",VLOOKUP(Table2[[#This Row],[New Engine Model Year:]],EFTable[],5,FALSE),VLOOKUP(Table2[[#This Row],[New Engine Fuel Type:]],EFTable[],5,FALSE)))</f>
        <v/>
      </c>
      <c r="BO64" s="190" t="str">
        <f>IF(Table2[[#This Row],[Counter Number]]="","",Table2[[#This Row],[Old Bus HC Emissions (tons/yr)]]-Table2[[#This Row],[New Bus HC Emissions (tons/yr)]])</f>
        <v/>
      </c>
      <c r="BP64" s="188" t="str">
        <f>IF(Table2[[#This Row],[Counter Number]]="","",Table2[[#This Row],[Reduction Bus HC Emissions (tons/yr)]]/Table2[[#This Row],[Old Bus HC Emissions (tons/yr)]])</f>
        <v/>
      </c>
      <c r="BQ64" s="193" t="str">
        <f>IF(Table2[[#This Row],[Counter Number]]="","",Table2[[#This Row],[Reduction Bus HC Emissions (tons/yr)]]*Table2[[#This Row],[Remaining Life:]])</f>
        <v/>
      </c>
      <c r="BR64" s="194" t="str">
        <f>IF(Table2[[#This Row],[Counter Number]]="","",IF(Table2[[#This Row],[Lifetime HC Reduction (tons)]]=0,"NA",Table2[[#This Row],[Upgrade Cost Per Unit]]/Table2[[#This Row],[Lifetime HC Reduction (tons)]]))</f>
        <v/>
      </c>
      <c r="BS64" s="191" t="str">
        <f>IF(Table2[[#This Row],[Counter Number]]="","",Table2[[#This Row],[Annual Miles Traveled:]]*VLOOKUP(Table2[[#This Row],[Engine Model Year:]],EF!$A$2:$G$27,6,FALSE))</f>
        <v/>
      </c>
      <c r="BT64" s="173" t="str">
        <f>IF(Table2[[#This Row],[Counter Number]]="","",Table2[[#This Row],[Annual Miles Traveled:]]*IF(Table2[[#This Row],[New Engine Fuel Type:]]="ULSD",VLOOKUP(Table2[[#This Row],[New Engine Model Year:]],EFTable[],6,FALSE),VLOOKUP(Table2[[#This Row],[New Engine Fuel Type:]],EFTable[],6,FALSE)))</f>
        <v/>
      </c>
      <c r="BU64" s="190" t="str">
        <f>IF(Table2[[#This Row],[Counter Number]]="","",Table2[[#This Row],[Old Bus CO Emissions (tons/yr)]]-Table2[[#This Row],[New Bus CO Emissions (tons/yr)]])</f>
        <v/>
      </c>
      <c r="BV64" s="188" t="str">
        <f>IF(Table2[[#This Row],[Counter Number]]="","",Table2[[#This Row],[Reduction Bus CO Emissions (tons/yr)]]/Table2[[#This Row],[Old Bus CO Emissions (tons/yr)]])</f>
        <v/>
      </c>
      <c r="BW64" s="193" t="str">
        <f>IF(Table2[[#This Row],[Counter Number]]="","",Table2[[#This Row],[Reduction Bus CO Emissions (tons/yr)]]*Table2[[#This Row],[Remaining Life:]])</f>
        <v/>
      </c>
      <c r="BX64" s="194" t="str">
        <f>IF(Table2[[#This Row],[Counter Number]]="","",IF(Table2[[#This Row],[Lifetime CO Reduction (tons)]]=0,"NA",Table2[[#This Row],[Upgrade Cost Per Unit]]/Table2[[#This Row],[Lifetime CO Reduction (tons)]]))</f>
        <v/>
      </c>
      <c r="BY64" s="180" t="str">
        <f>IF(Table2[[#This Row],[Counter Number]]="","",Table2[[#This Row],[Old ULSD Used (gal):]]*VLOOKUP(Table2[[#This Row],[Engine Model Year:]],EF!$A$2:$G$27,7,FALSE))</f>
        <v/>
      </c>
      <c r="BZ6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4" s="195" t="str">
        <f>IF(Table2[[#This Row],[Counter Number]]="","",Table2[[#This Row],[Old Bus CO2 Emissions (tons/yr)]]-Table2[[#This Row],[New Bus CO2 Emissions (tons/yr)]])</f>
        <v/>
      </c>
      <c r="CB64" s="188" t="str">
        <f>IF(Table2[[#This Row],[Counter Number]]="","",Table2[[#This Row],[Reduction Bus CO2 Emissions (tons/yr)]]/Table2[[#This Row],[Old Bus CO2 Emissions (tons/yr)]])</f>
        <v/>
      </c>
      <c r="CC64" s="195" t="str">
        <f>IF(Table2[[#This Row],[Counter Number]]="","",Table2[[#This Row],[Reduction Bus CO2 Emissions (tons/yr)]]*Table2[[#This Row],[Remaining Life:]])</f>
        <v/>
      </c>
      <c r="CD64" s="194" t="str">
        <f>IF(Table2[[#This Row],[Counter Number]]="","",IF(Table2[[#This Row],[Lifetime CO2 Reduction (tons)]]=0,"NA",Table2[[#This Row],[Upgrade Cost Per Unit]]/Table2[[#This Row],[Lifetime CO2 Reduction (tons)]]))</f>
        <v/>
      </c>
      <c r="CE64" s="182" t="str">
        <f>IF(Table2[[#This Row],[Counter Number]]="","",IF(Table2[[#This Row],[New ULSD Used (gal):]]="",Table2[[#This Row],[Old ULSD Used (gal):]],Table2[[#This Row],[Old ULSD Used (gal):]]-Table2[[#This Row],[New ULSD Used (gal):]]))</f>
        <v/>
      </c>
      <c r="CF64" s="196" t="str">
        <f>IF(Table2[[#This Row],[Counter Number]]="","",Table2[[#This Row],[Diesel Fuel Reduction (gal/yr)]]/Table2[[#This Row],[Old ULSD Used (gal):]])</f>
        <v/>
      </c>
      <c r="CG64" s="197" t="str">
        <f>IF(Table2[[#This Row],[Counter Number]]="","",Table2[[#This Row],[Diesel Fuel Reduction (gal/yr)]]*Table2[[#This Row],[Remaining Life:]])</f>
        <v/>
      </c>
    </row>
    <row r="65" spans="1:85">
      <c r="A65" s="184" t="str">
        <f>IF(A64&lt;Application!$D$24,A64+1,"")</f>
        <v/>
      </c>
      <c r="B65" s="60" t="str">
        <f>IF(Table2[[#This Row],[Counter Number]]="","",Application!$D$16)</f>
        <v/>
      </c>
      <c r="C65" s="60" t="str">
        <f>IF(Table2[[#This Row],[Counter Number]]="","",Application!$D$14)</f>
        <v/>
      </c>
      <c r="D65" s="60" t="str">
        <f>IF(Table2[[#This Row],[Counter Number]]="","",Table1[[#This Row],[Old Bus Number]])</f>
        <v/>
      </c>
      <c r="E65" s="60" t="str">
        <f>IF(Table2[[#This Row],[Counter Number]]="","",Application!$D$15)</f>
        <v/>
      </c>
      <c r="F65" s="60" t="str">
        <f>IF(Table2[[#This Row],[Counter Number]]="","","On Highway")</f>
        <v/>
      </c>
      <c r="G65" s="60" t="str">
        <f>IF(Table2[[#This Row],[Counter Number]]="","",I65)</f>
        <v/>
      </c>
      <c r="H65" s="60" t="str">
        <f>IF(Table2[[#This Row],[Counter Number]]="","","Georgia")</f>
        <v/>
      </c>
      <c r="I65" s="60" t="str">
        <f>IF(Table2[[#This Row],[Counter Number]]="","",Application!$D$16)</f>
        <v/>
      </c>
      <c r="J65" s="60" t="str">
        <f>IF(Table2[[#This Row],[Counter Number]]="","",Application!$D$21)</f>
        <v/>
      </c>
      <c r="K65" s="60" t="str">
        <f>IF(Table2[[#This Row],[Counter Number]]="","",Application!$J$21)</f>
        <v/>
      </c>
      <c r="L65" s="60" t="str">
        <f>IF(Table2[[#This Row],[Counter Number]]="","","School Bus")</f>
        <v/>
      </c>
      <c r="M65" s="60" t="str">
        <f>IF(Table2[[#This Row],[Counter Number]]="","","School Bus")</f>
        <v/>
      </c>
      <c r="N65" s="60" t="str">
        <f>IF(Table2[[#This Row],[Counter Number]]="","",1)</f>
        <v/>
      </c>
      <c r="O65" s="60" t="str">
        <f>IF(Table2[[#This Row],[Counter Number]]="","",Table1[[#This Row],[Vehicle Identification Number(s):]])</f>
        <v/>
      </c>
      <c r="P65" s="60" t="str">
        <f>IF(Table2[[#This Row],[Counter Number]]="","",Table1[[#This Row],[Old Bus Manufacturer:]])</f>
        <v/>
      </c>
      <c r="Q65" s="60" t="str">
        <f>IF(Table2[[#This Row],[Counter Number]]="","",Table1[[#This Row],[Vehicle Model:]])</f>
        <v/>
      </c>
      <c r="R65" s="165" t="str">
        <f>IF(Table2[[#This Row],[Counter Number]]="","",Table1[[#This Row],[Vehicle Model Year:]])</f>
        <v/>
      </c>
      <c r="S65" s="60" t="str">
        <f>IF(Table2[[#This Row],[Counter Number]]="","",Table1[[#This Row],[Engine Serial Number(s):]])</f>
        <v/>
      </c>
      <c r="T65" s="60" t="str">
        <f>IF(Table2[[#This Row],[Counter Number]]="","",Table1[[#This Row],[Engine Make:]])</f>
        <v/>
      </c>
      <c r="U65" s="60" t="str">
        <f>IF(Table2[[#This Row],[Counter Number]]="","",Table1[[#This Row],[Engine Model:]])</f>
        <v/>
      </c>
      <c r="V65" s="165" t="str">
        <f>IF(Table2[[#This Row],[Counter Number]]="","",Table1[[#This Row],[Engine Model Year:]])</f>
        <v/>
      </c>
      <c r="W65" s="60" t="str">
        <f>IF(Table2[[#This Row],[Counter Number]]="","","NA")</f>
        <v/>
      </c>
      <c r="X65" s="165" t="str">
        <f>IF(Table2[[#This Row],[Counter Number]]="","",Table1[[#This Row],[Engine Horsepower (HP):]])</f>
        <v/>
      </c>
      <c r="Y65" s="165" t="str">
        <f>IF(Table2[[#This Row],[Counter Number]]="","",Table1[[#This Row],[Engine Cylinder Displacement (L):]]&amp;" L")</f>
        <v/>
      </c>
      <c r="Z65" s="165" t="str">
        <f>IF(Table2[[#This Row],[Counter Number]]="","",Table1[[#This Row],[Engine Number of Cylinders:]])</f>
        <v/>
      </c>
      <c r="AA65" s="166" t="str">
        <f>IF(Table2[[#This Row],[Counter Number]]="","",Table1[[#This Row],[Engine Family Name:]])</f>
        <v/>
      </c>
      <c r="AB65" s="60" t="str">
        <f>IF(Table2[[#This Row],[Counter Number]]="","","ULSD")</f>
        <v/>
      </c>
      <c r="AC65" s="167" t="str">
        <f>IF(Table2[[#This Row],[Counter Number]]="","",Table2[[#This Row],[Annual Miles Traveled:]]/Table1[[#This Row],[Old Fuel (mpg)]])</f>
        <v/>
      </c>
      <c r="AD65" s="60" t="str">
        <f>IF(Table2[[#This Row],[Counter Number]]="","","NA")</f>
        <v/>
      </c>
      <c r="AE65" s="168" t="str">
        <f>IF(Table2[[#This Row],[Counter Number]]="","",Table1[[#This Row],[Annual Miles Traveled]])</f>
        <v/>
      </c>
      <c r="AF65" s="169" t="str">
        <f>IF(Table2[[#This Row],[Counter Number]]="","",Table1[[#This Row],[Annual Idling Hours:]])</f>
        <v/>
      </c>
      <c r="AG65" s="60" t="str">
        <f>IF(Table2[[#This Row],[Counter Number]]="","","NA")</f>
        <v/>
      </c>
      <c r="AH65" s="165" t="str">
        <f>IF(Table2[[#This Row],[Counter Number]]="","",IF(Application!$J$25="Set Policy",Table1[[#This Row],[Remaining Life (years)         Set Policy]],Table1[[#This Row],[Remaining Life (years)               Case-by-Case]]))</f>
        <v/>
      </c>
      <c r="AI65" s="165" t="str">
        <f>IF(Table2[[#This Row],[Counter Number]]="","",IF(Application!$J$25="Case-by-Case","NA",Table2[[#This Row],[Fiscal Year of EPA Funds Used:]]+Table2[[#This Row],[Remaining Life:]]))</f>
        <v/>
      </c>
      <c r="AJ65" s="165"/>
      <c r="AK65" s="170" t="str">
        <f>IF(Table2[[#This Row],[Counter Number]]="","",Application!$D$14+1)</f>
        <v/>
      </c>
      <c r="AL65" s="60" t="str">
        <f>IF(Table2[[#This Row],[Counter Number]]="","","Vehicle Replacement")</f>
        <v/>
      </c>
      <c r="AM6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5" s="171" t="str">
        <f>IF(Table2[[#This Row],[Counter Number]]="","",Table1[[#This Row],[Cost of New Bus:]])</f>
        <v/>
      </c>
      <c r="AO65" s="60" t="str">
        <f>IF(Table2[[#This Row],[Counter Number]]="","","NA")</f>
        <v/>
      </c>
      <c r="AP65" s="165" t="str">
        <f>IF(Table2[[#This Row],[Counter Number]]="","",Table1[[#This Row],[New Engine Model Year:]])</f>
        <v/>
      </c>
      <c r="AQ65" s="60" t="str">
        <f>IF(Table2[[#This Row],[Counter Number]]="","","NA")</f>
        <v/>
      </c>
      <c r="AR65" s="165" t="str">
        <f>IF(Table2[[#This Row],[Counter Number]]="","",Table1[[#This Row],[New Engine Horsepower (HP):]])</f>
        <v/>
      </c>
      <c r="AS65" s="60" t="str">
        <f>IF(Table2[[#This Row],[Counter Number]]="","","NA")</f>
        <v/>
      </c>
      <c r="AT65" s="165" t="str">
        <f>IF(Table2[[#This Row],[Counter Number]]="","",Table1[[#This Row],[New Engine Cylinder Displacement (L):]]&amp;" L")</f>
        <v/>
      </c>
      <c r="AU65" s="114" t="str">
        <f>IF(Table2[[#This Row],[Counter Number]]="","",Table1[[#This Row],[New Engine Number of Cylinders:]])</f>
        <v/>
      </c>
      <c r="AV65" s="60" t="str">
        <f>IF(Table2[[#This Row],[Counter Number]]="","",Table1[[#This Row],[New Engine Family Name:]])</f>
        <v/>
      </c>
      <c r="AW6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5" s="60" t="str">
        <f>IF(Table2[[#This Row],[Counter Number]]="","","NA")</f>
        <v/>
      </c>
      <c r="AY65" s="172" t="str">
        <f>IF(Table2[[#This Row],[Counter Number]]="","",IF(Table2[[#This Row],[New Engine Fuel Type:]]="ULSD",Table1[[#This Row],[Annual Miles Traveled]]/Table1[[#This Row],[New Fuel (mpg) if Diesel]],""))</f>
        <v/>
      </c>
      <c r="AZ65" s="60"/>
      <c r="BA65" s="173" t="str">
        <f>IF(Table2[[#This Row],[Counter Number]]="","",Table2[[#This Row],[Annual Miles Traveled:]]*VLOOKUP(Table2[[#This Row],[Engine Model Year:]],EFTable[],3,FALSE))</f>
        <v/>
      </c>
      <c r="BB65" s="173" t="str">
        <f>IF(Table2[[#This Row],[Counter Number]]="","",Table2[[#This Row],[Annual Miles Traveled:]]*IF(Table2[[#This Row],[New Engine Fuel Type:]]="ULSD",VLOOKUP(Table2[[#This Row],[New Engine Model Year:]],EFTable[],3,FALSE),VLOOKUP(Table2[[#This Row],[New Engine Fuel Type:]],EFTable[],3,FALSE)))</f>
        <v/>
      </c>
      <c r="BC65" s="187" t="str">
        <f>IF(Table2[[#This Row],[Counter Number]]="","",Table2[[#This Row],[Old Bus NOx Emissions (tons/yr)]]-Table2[[#This Row],[New Bus NOx Emissions (tons/yr)]])</f>
        <v/>
      </c>
      <c r="BD65" s="188" t="str">
        <f>IF(Table2[[#This Row],[Counter Number]]="","",Table2[[#This Row],[Reduction Bus NOx Emissions (tons/yr)]]/Table2[[#This Row],[Old Bus NOx Emissions (tons/yr)]])</f>
        <v/>
      </c>
      <c r="BE65" s="175" t="str">
        <f>IF(Table2[[#This Row],[Counter Number]]="","",Table2[[#This Row],[Reduction Bus NOx Emissions (tons/yr)]]*Table2[[#This Row],[Remaining Life:]])</f>
        <v/>
      </c>
      <c r="BF65" s="189" t="str">
        <f>IF(Table2[[#This Row],[Counter Number]]="","",IF(Table2[[#This Row],[Lifetime NOx Reduction (tons)]]=0,"NA",Table2[[#This Row],[Upgrade Cost Per Unit]]/Table2[[#This Row],[Lifetime NOx Reduction (tons)]]))</f>
        <v/>
      </c>
      <c r="BG65" s="190" t="str">
        <f>IF(Table2[[#This Row],[Counter Number]]="","",Table2[[#This Row],[Annual Miles Traveled:]]*VLOOKUP(Table2[[#This Row],[Engine Model Year:]],EF!$A$2:$G$27,4,FALSE))</f>
        <v/>
      </c>
      <c r="BH65" s="173" t="str">
        <f>IF(Table2[[#This Row],[Counter Number]]="","",Table2[[#This Row],[Annual Miles Traveled:]]*IF(Table2[[#This Row],[New Engine Fuel Type:]]="ULSD",VLOOKUP(Table2[[#This Row],[New Engine Model Year:]],EFTable[],4,FALSE),VLOOKUP(Table2[[#This Row],[New Engine Fuel Type:]],EFTable[],4,FALSE)))</f>
        <v/>
      </c>
      <c r="BI65" s="191" t="str">
        <f>IF(Table2[[#This Row],[Counter Number]]="","",Table2[[#This Row],[Old Bus PM2.5 Emissions (tons/yr)]]-Table2[[#This Row],[New Bus PM2.5 Emissions (tons/yr)]])</f>
        <v/>
      </c>
      <c r="BJ65" s="192" t="str">
        <f>IF(Table2[[#This Row],[Counter Number]]="","",Table2[[#This Row],[Reduction Bus PM2.5 Emissions (tons/yr)]]/Table2[[#This Row],[Old Bus PM2.5 Emissions (tons/yr)]])</f>
        <v/>
      </c>
      <c r="BK65" s="193" t="str">
        <f>IF(Table2[[#This Row],[Counter Number]]="","",Table2[[#This Row],[Reduction Bus PM2.5 Emissions (tons/yr)]]*Table2[[#This Row],[Remaining Life:]])</f>
        <v/>
      </c>
      <c r="BL65" s="194" t="str">
        <f>IF(Table2[[#This Row],[Counter Number]]="","",IF(Table2[[#This Row],[Lifetime PM2.5 Reduction (tons)]]=0,"NA",Table2[[#This Row],[Upgrade Cost Per Unit]]/Table2[[#This Row],[Lifetime PM2.5 Reduction (tons)]]))</f>
        <v/>
      </c>
      <c r="BM65" s="179" t="str">
        <f>IF(Table2[[#This Row],[Counter Number]]="","",Table2[[#This Row],[Annual Miles Traveled:]]*VLOOKUP(Table2[[#This Row],[Engine Model Year:]],EF!$A$2:$G$40,5,FALSE))</f>
        <v/>
      </c>
      <c r="BN65" s="173" t="str">
        <f>IF(Table2[[#This Row],[Counter Number]]="","",Table2[[#This Row],[Annual Miles Traveled:]]*IF(Table2[[#This Row],[New Engine Fuel Type:]]="ULSD",VLOOKUP(Table2[[#This Row],[New Engine Model Year:]],EFTable[],5,FALSE),VLOOKUP(Table2[[#This Row],[New Engine Fuel Type:]],EFTable[],5,FALSE)))</f>
        <v/>
      </c>
      <c r="BO65" s="190" t="str">
        <f>IF(Table2[[#This Row],[Counter Number]]="","",Table2[[#This Row],[Old Bus HC Emissions (tons/yr)]]-Table2[[#This Row],[New Bus HC Emissions (tons/yr)]])</f>
        <v/>
      </c>
      <c r="BP65" s="188" t="str">
        <f>IF(Table2[[#This Row],[Counter Number]]="","",Table2[[#This Row],[Reduction Bus HC Emissions (tons/yr)]]/Table2[[#This Row],[Old Bus HC Emissions (tons/yr)]])</f>
        <v/>
      </c>
      <c r="BQ65" s="193" t="str">
        <f>IF(Table2[[#This Row],[Counter Number]]="","",Table2[[#This Row],[Reduction Bus HC Emissions (tons/yr)]]*Table2[[#This Row],[Remaining Life:]])</f>
        <v/>
      </c>
      <c r="BR65" s="194" t="str">
        <f>IF(Table2[[#This Row],[Counter Number]]="","",IF(Table2[[#This Row],[Lifetime HC Reduction (tons)]]=0,"NA",Table2[[#This Row],[Upgrade Cost Per Unit]]/Table2[[#This Row],[Lifetime HC Reduction (tons)]]))</f>
        <v/>
      </c>
      <c r="BS65" s="191" t="str">
        <f>IF(Table2[[#This Row],[Counter Number]]="","",Table2[[#This Row],[Annual Miles Traveled:]]*VLOOKUP(Table2[[#This Row],[Engine Model Year:]],EF!$A$2:$G$27,6,FALSE))</f>
        <v/>
      </c>
      <c r="BT65" s="173" t="str">
        <f>IF(Table2[[#This Row],[Counter Number]]="","",Table2[[#This Row],[Annual Miles Traveled:]]*IF(Table2[[#This Row],[New Engine Fuel Type:]]="ULSD",VLOOKUP(Table2[[#This Row],[New Engine Model Year:]],EFTable[],6,FALSE),VLOOKUP(Table2[[#This Row],[New Engine Fuel Type:]],EFTable[],6,FALSE)))</f>
        <v/>
      </c>
      <c r="BU65" s="190" t="str">
        <f>IF(Table2[[#This Row],[Counter Number]]="","",Table2[[#This Row],[Old Bus CO Emissions (tons/yr)]]-Table2[[#This Row],[New Bus CO Emissions (tons/yr)]])</f>
        <v/>
      </c>
      <c r="BV65" s="188" t="str">
        <f>IF(Table2[[#This Row],[Counter Number]]="","",Table2[[#This Row],[Reduction Bus CO Emissions (tons/yr)]]/Table2[[#This Row],[Old Bus CO Emissions (tons/yr)]])</f>
        <v/>
      </c>
      <c r="BW65" s="193" t="str">
        <f>IF(Table2[[#This Row],[Counter Number]]="","",Table2[[#This Row],[Reduction Bus CO Emissions (tons/yr)]]*Table2[[#This Row],[Remaining Life:]])</f>
        <v/>
      </c>
      <c r="BX65" s="194" t="str">
        <f>IF(Table2[[#This Row],[Counter Number]]="","",IF(Table2[[#This Row],[Lifetime CO Reduction (tons)]]=0,"NA",Table2[[#This Row],[Upgrade Cost Per Unit]]/Table2[[#This Row],[Lifetime CO Reduction (tons)]]))</f>
        <v/>
      </c>
      <c r="BY65" s="180" t="str">
        <f>IF(Table2[[#This Row],[Counter Number]]="","",Table2[[#This Row],[Old ULSD Used (gal):]]*VLOOKUP(Table2[[#This Row],[Engine Model Year:]],EF!$A$2:$G$27,7,FALSE))</f>
        <v/>
      </c>
      <c r="BZ6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5" s="195" t="str">
        <f>IF(Table2[[#This Row],[Counter Number]]="","",Table2[[#This Row],[Old Bus CO2 Emissions (tons/yr)]]-Table2[[#This Row],[New Bus CO2 Emissions (tons/yr)]])</f>
        <v/>
      </c>
      <c r="CB65" s="188" t="str">
        <f>IF(Table2[[#This Row],[Counter Number]]="","",Table2[[#This Row],[Reduction Bus CO2 Emissions (tons/yr)]]/Table2[[#This Row],[Old Bus CO2 Emissions (tons/yr)]])</f>
        <v/>
      </c>
      <c r="CC65" s="195" t="str">
        <f>IF(Table2[[#This Row],[Counter Number]]="","",Table2[[#This Row],[Reduction Bus CO2 Emissions (tons/yr)]]*Table2[[#This Row],[Remaining Life:]])</f>
        <v/>
      </c>
      <c r="CD65" s="194" t="str">
        <f>IF(Table2[[#This Row],[Counter Number]]="","",IF(Table2[[#This Row],[Lifetime CO2 Reduction (tons)]]=0,"NA",Table2[[#This Row],[Upgrade Cost Per Unit]]/Table2[[#This Row],[Lifetime CO2 Reduction (tons)]]))</f>
        <v/>
      </c>
      <c r="CE65" s="182" t="str">
        <f>IF(Table2[[#This Row],[Counter Number]]="","",IF(Table2[[#This Row],[New ULSD Used (gal):]]="",Table2[[#This Row],[Old ULSD Used (gal):]],Table2[[#This Row],[Old ULSD Used (gal):]]-Table2[[#This Row],[New ULSD Used (gal):]]))</f>
        <v/>
      </c>
      <c r="CF65" s="196" t="str">
        <f>IF(Table2[[#This Row],[Counter Number]]="","",Table2[[#This Row],[Diesel Fuel Reduction (gal/yr)]]/Table2[[#This Row],[Old ULSD Used (gal):]])</f>
        <v/>
      </c>
      <c r="CG65" s="197" t="str">
        <f>IF(Table2[[#This Row],[Counter Number]]="","",Table2[[#This Row],[Diesel Fuel Reduction (gal/yr)]]*Table2[[#This Row],[Remaining Life:]])</f>
        <v/>
      </c>
    </row>
    <row r="66" spans="1:85">
      <c r="A66" s="184" t="str">
        <f>IF(A65&lt;Application!$D$24,A65+1,"")</f>
        <v/>
      </c>
      <c r="B66" s="60" t="str">
        <f>IF(Table2[[#This Row],[Counter Number]]="","",Application!$D$16)</f>
        <v/>
      </c>
      <c r="C66" s="60" t="str">
        <f>IF(Table2[[#This Row],[Counter Number]]="","",Application!$D$14)</f>
        <v/>
      </c>
      <c r="D66" s="60" t="str">
        <f>IF(Table2[[#This Row],[Counter Number]]="","",Table1[[#This Row],[Old Bus Number]])</f>
        <v/>
      </c>
      <c r="E66" s="60" t="str">
        <f>IF(Table2[[#This Row],[Counter Number]]="","",Application!$D$15)</f>
        <v/>
      </c>
      <c r="F66" s="60" t="str">
        <f>IF(Table2[[#This Row],[Counter Number]]="","","On Highway")</f>
        <v/>
      </c>
      <c r="G66" s="60" t="str">
        <f>IF(Table2[[#This Row],[Counter Number]]="","",I66)</f>
        <v/>
      </c>
      <c r="H66" s="60" t="str">
        <f>IF(Table2[[#This Row],[Counter Number]]="","","Georgia")</f>
        <v/>
      </c>
      <c r="I66" s="60" t="str">
        <f>IF(Table2[[#This Row],[Counter Number]]="","",Application!$D$16)</f>
        <v/>
      </c>
      <c r="J66" s="60" t="str">
        <f>IF(Table2[[#This Row],[Counter Number]]="","",Application!$D$21)</f>
        <v/>
      </c>
      <c r="K66" s="60" t="str">
        <f>IF(Table2[[#This Row],[Counter Number]]="","",Application!$J$21)</f>
        <v/>
      </c>
      <c r="L66" s="60" t="str">
        <f>IF(Table2[[#This Row],[Counter Number]]="","","School Bus")</f>
        <v/>
      </c>
      <c r="M66" s="60" t="str">
        <f>IF(Table2[[#This Row],[Counter Number]]="","","School Bus")</f>
        <v/>
      </c>
      <c r="N66" s="60" t="str">
        <f>IF(Table2[[#This Row],[Counter Number]]="","",1)</f>
        <v/>
      </c>
      <c r="O66" s="60" t="str">
        <f>IF(Table2[[#This Row],[Counter Number]]="","",Table1[[#This Row],[Vehicle Identification Number(s):]])</f>
        <v/>
      </c>
      <c r="P66" s="60" t="str">
        <f>IF(Table2[[#This Row],[Counter Number]]="","",Table1[[#This Row],[Old Bus Manufacturer:]])</f>
        <v/>
      </c>
      <c r="Q66" s="60" t="str">
        <f>IF(Table2[[#This Row],[Counter Number]]="","",Table1[[#This Row],[Vehicle Model:]])</f>
        <v/>
      </c>
      <c r="R66" s="165" t="str">
        <f>IF(Table2[[#This Row],[Counter Number]]="","",Table1[[#This Row],[Vehicle Model Year:]])</f>
        <v/>
      </c>
      <c r="S66" s="60" t="str">
        <f>IF(Table2[[#This Row],[Counter Number]]="","",Table1[[#This Row],[Engine Serial Number(s):]])</f>
        <v/>
      </c>
      <c r="T66" s="60" t="str">
        <f>IF(Table2[[#This Row],[Counter Number]]="","",Table1[[#This Row],[Engine Make:]])</f>
        <v/>
      </c>
      <c r="U66" s="60" t="str">
        <f>IF(Table2[[#This Row],[Counter Number]]="","",Table1[[#This Row],[Engine Model:]])</f>
        <v/>
      </c>
      <c r="V66" s="165" t="str">
        <f>IF(Table2[[#This Row],[Counter Number]]="","",Table1[[#This Row],[Engine Model Year:]])</f>
        <v/>
      </c>
      <c r="W66" s="60" t="str">
        <f>IF(Table2[[#This Row],[Counter Number]]="","","NA")</f>
        <v/>
      </c>
      <c r="X66" s="165" t="str">
        <f>IF(Table2[[#This Row],[Counter Number]]="","",Table1[[#This Row],[Engine Horsepower (HP):]])</f>
        <v/>
      </c>
      <c r="Y66" s="165" t="str">
        <f>IF(Table2[[#This Row],[Counter Number]]="","",Table1[[#This Row],[Engine Cylinder Displacement (L):]]&amp;" L")</f>
        <v/>
      </c>
      <c r="Z66" s="165" t="str">
        <f>IF(Table2[[#This Row],[Counter Number]]="","",Table1[[#This Row],[Engine Number of Cylinders:]])</f>
        <v/>
      </c>
      <c r="AA66" s="166" t="str">
        <f>IF(Table2[[#This Row],[Counter Number]]="","",Table1[[#This Row],[Engine Family Name:]])</f>
        <v/>
      </c>
      <c r="AB66" s="60" t="str">
        <f>IF(Table2[[#This Row],[Counter Number]]="","","ULSD")</f>
        <v/>
      </c>
      <c r="AC66" s="167" t="str">
        <f>IF(Table2[[#This Row],[Counter Number]]="","",Table2[[#This Row],[Annual Miles Traveled:]]/Table1[[#This Row],[Old Fuel (mpg)]])</f>
        <v/>
      </c>
      <c r="AD66" s="60" t="str">
        <f>IF(Table2[[#This Row],[Counter Number]]="","","NA")</f>
        <v/>
      </c>
      <c r="AE66" s="168" t="str">
        <f>IF(Table2[[#This Row],[Counter Number]]="","",Table1[[#This Row],[Annual Miles Traveled]])</f>
        <v/>
      </c>
      <c r="AF66" s="169" t="str">
        <f>IF(Table2[[#This Row],[Counter Number]]="","",Table1[[#This Row],[Annual Idling Hours:]])</f>
        <v/>
      </c>
      <c r="AG66" s="60" t="str">
        <f>IF(Table2[[#This Row],[Counter Number]]="","","NA")</f>
        <v/>
      </c>
      <c r="AH66" s="165" t="str">
        <f>IF(Table2[[#This Row],[Counter Number]]="","",IF(Application!$J$25="Set Policy",Table1[[#This Row],[Remaining Life (years)         Set Policy]],Table1[[#This Row],[Remaining Life (years)               Case-by-Case]]))</f>
        <v/>
      </c>
      <c r="AI66" s="165" t="str">
        <f>IF(Table2[[#This Row],[Counter Number]]="","",IF(Application!$J$25="Case-by-Case","NA",Table2[[#This Row],[Fiscal Year of EPA Funds Used:]]+Table2[[#This Row],[Remaining Life:]]))</f>
        <v/>
      </c>
      <c r="AJ66" s="165"/>
      <c r="AK66" s="170" t="str">
        <f>IF(Table2[[#This Row],[Counter Number]]="","",Application!$D$14+1)</f>
        <v/>
      </c>
      <c r="AL66" s="60" t="str">
        <f>IF(Table2[[#This Row],[Counter Number]]="","","Vehicle Replacement")</f>
        <v/>
      </c>
      <c r="AM6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6" s="171" t="str">
        <f>IF(Table2[[#This Row],[Counter Number]]="","",Table1[[#This Row],[Cost of New Bus:]])</f>
        <v/>
      </c>
      <c r="AO66" s="60" t="str">
        <f>IF(Table2[[#This Row],[Counter Number]]="","","NA")</f>
        <v/>
      </c>
      <c r="AP66" s="165" t="str">
        <f>IF(Table2[[#This Row],[Counter Number]]="","",Table1[[#This Row],[New Engine Model Year:]])</f>
        <v/>
      </c>
      <c r="AQ66" s="60" t="str">
        <f>IF(Table2[[#This Row],[Counter Number]]="","","NA")</f>
        <v/>
      </c>
      <c r="AR66" s="165" t="str">
        <f>IF(Table2[[#This Row],[Counter Number]]="","",Table1[[#This Row],[New Engine Horsepower (HP):]])</f>
        <v/>
      </c>
      <c r="AS66" s="60" t="str">
        <f>IF(Table2[[#This Row],[Counter Number]]="","","NA")</f>
        <v/>
      </c>
      <c r="AT66" s="165" t="str">
        <f>IF(Table2[[#This Row],[Counter Number]]="","",Table1[[#This Row],[New Engine Cylinder Displacement (L):]]&amp;" L")</f>
        <v/>
      </c>
      <c r="AU66" s="114" t="str">
        <f>IF(Table2[[#This Row],[Counter Number]]="","",Table1[[#This Row],[New Engine Number of Cylinders:]])</f>
        <v/>
      </c>
      <c r="AV66" s="60" t="str">
        <f>IF(Table2[[#This Row],[Counter Number]]="","",Table1[[#This Row],[New Engine Family Name:]])</f>
        <v/>
      </c>
      <c r="AW6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6" s="60" t="str">
        <f>IF(Table2[[#This Row],[Counter Number]]="","","NA")</f>
        <v/>
      </c>
      <c r="AY66" s="172" t="str">
        <f>IF(Table2[[#This Row],[Counter Number]]="","",IF(Table2[[#This Row],[New Engine Fuel Type:]]="ULSD",Table1[[#This Row],[Annual Miles Traveled]]/Table1[[#This Row],[New Fuel (mpg) if Diesel]],""))</f>
        <v/>
      </c>
      <c r="AZ66" s="60"/>
      <c r="BA66" s="173" t="str">
        <f>IF(Table2[[#This Row],[Counter Number]]="","",Table2[[#This Row],[Annual Miles Traveled:]]*VLOOKUP(Table2[[#This Row],[Engine Model Year:]],EFTable[],3,FALSE))</f>
        <v/>
      </c>
      <c r="BB66" s="173" t="str">
        <f>IF(Table2[[#This Row],[Counter Number]]="","",Table2[[#This Row],[Annual Miles Traveled:]]*IF(Table2[[#This Row],[New Engine Fuel Type:]]="ULSD",VLOOKUP(Table2[[#This Row],[New Engine Model Year:]],EFTable[],3,FALSE),VLOOKUP(Table2[[#This Row],[New Engine Fuel Type:]],EFTable[],3,FALSE)))</f>
        <v/>
      </c>
      <c r="BC66" s="187" t="str">
        <f>IF(Table2[[#This Row],[Counter Number]]="","",Table2[[#This Row],[Old Bus NOx Emissions (tons/yr)]]-Table2[[#This Row],[New Bus NOx Emissions (tons/yr)]])</f>
        <v/>
      </c>
      <c r="BD66" s="188" t="str">
        <f>IF(Table2[[#This Row],[Counter Number]]="","",Table2[[#This Row],[Reduction Bus NOx Emissions (tons/yr)]]/Table2[[#This Row],[Old Bus NOx Emissions (tons/yr)]])</f>
        <v/>
      </c>
      <c r="BE66" s="175" t="str">
        <f>IF(Table2[[#This Row],[Counter Number]]="","",Table2[[#This Row],[Reduction Bus NOx Emissions (tons/yr)]]*Table2[[#This Row],[Remaining Life:]])</f>
        <v/>
      </c>
      <c r="BF66" s="189" t="str">
        <f>IF(Table2[[#This Row],[Counter Number]]="","",IF(Table2[[#This Row],[Lifetime NOx Reduction (tons)]]=0,"NA",Table2[[#This Row],[Upgrade Cost Per Unit]]/Table2[[#This Row],[Lifetime NOx Reduction (tons)]]))</f>
        <v/>
      </c>
      <c r="BG66" s="190" t="str">
        <f>IF(Table2[[#This Row],[Counter Number]]="","",Table2[[#This Row],[Annual Miles Traveled:]]*VLOOKUP(Table2[[#This Row],[Engine Model Year:]],EF!$A$2:$G$27,4,FALSE))</f>
        <v/>
      </c>
      <c r="BH66" s="173" t="str">
        <f>IF(Table2[[#This Row],[Counter Number]]="","",Table2[[#This Row],[Annual Miles Traveled:]]*IF(Table2[[#This Row],[New Engine Fuel Type:]]="ULSD",VLOOKUP(Table2[[#This Row],[New Engine Model Year:]],EFTable[],4,FALSE),VLOOKUP(Table2[[#This Row],[New Engine Fuel Type:]],EFTable[],4,FALSE)))</f>
        <v/>
      </c>
      <c r="BI66" s="191" t="str">
        <f>IF(Table2[[#This Row],[Counter Number]]="","",Table2[[#This Row],[Old Bus PM2.5 Emissions (tons/yr)]]-Table2[[#This Row],[New Bus PM2.5 Emissions (tons/yr)]])</f>
        <v/>
      </c>
      <c r="BJ66" s="192" t="str">
        <f>IF(Table2[[#This Row],[Counter Number]]="","",Table2[[#This Row],[Reduction Bus PM2.5 Emissions (tons/yr)]]/Table2[[#This Row],[Old Bus PM2.5 Emissions (tons/yr)]])</f>
        <v/>
      </c>
      <c r="BK66" s="193" t="str">
        <f>IF(Table2[[#This Row],[Counter Number]]="","",Table2[[#This Row],[Reduction Bus PM2.5 Emissions (tons/yr)]]*Table2[[#This Row],[Remaining Life:]])</f>
        <v/>
      </c>
      <c r="BL66" s="194" t="str">
        <f>IF(Table2[[#This Row],[Counter Number]]="","",IF(Table2[[#This Row],[Lifetime PM2.5 Reduction (tons)]]=0,"NA",Table2[[#This Row],[Upgrade Cost Per Unit]]/Table2[[#This Row],[Lifetime PM2.5 Reduction (tons)]]))</f>
        <v/>
      </c>
      <c r="BM66" s="179" t="str">
        <f>IF(Table2[[#This Row],[Counter Number]]="","",Table2[[#This Row],[Annual Miles Traveled:]]*VLOOKUP(Table2[[#This Row],[Engine Model Year:]],EF!$A$2:$G$40,5,FALSE))</f>
        <v/>
      </c>
      <c r="BN66" s="173" t="str">
        <f>IF(Table2[[#This Row],[Counter Number]]="","",Table2[[#This Row],[Annual Miles Traveled:]]*IF(Table2[[#This Row],[New Engine Fuel Type:]]="ULSD",VLOOKUP(Table2[[#This Row],[New Engine Model Year:]],EFTable[],5,FALSE),VLOOKUP(Table2[[#This Row],[New Engine Fuel Type:]],EFTable[],5,FALSE)))</f>
        <v/>
      </c>
      <c r="BO66" s="190" t="str">
        <f>IF(Table2[[#This Row],[Counter Number]]="","",Table2[[#This Row],[Old Bus HC Emissions (tons/yr)]]-Table2[[#This Row],[New Bus HC Emissions (tons/yr)]])</f>
        <v/>
      </c>
      <c r="BP66" s="188" t="str">
        <f>IF(Table2[[#This Row],[Counter Number]]="","",Table2[[#This Row],[Reduction Bus HC Emissions (tons/yr)]]/Table2[[#This Row],[Old Bus HC Emissions (tons/yr)]])</f>
        <v/>
      </c>
      <c r="BQ66" s="193" t="str">
        <f>IF(Table2[[#This Row],[Counter Number]]="","",Table2[[#This Row],[Reduction Bus HC Emissions (tons/yr)]]*Table2[[#This Row],[Remaining Life:]])</f>
        <v/>
      </c>
      <c r="BR66" s="194" t="str">
        <f>IF(Table2[[#This Row],[Counter Number]]="","",IF(Table2[[#This Row],[Lifetime HC Reduction (tons)]]=0,"NA",Table2[[#This Row],[Upgrade Cost Per Unit]]/Table2[[#This Row],[Lifetime HC Reduction (tons)]]))</f>
        <v/>
      </c>
      <c r="BS66" s="191" t="str">
        <f>IF(Table2[[#This Row],[Counter Number]]="","",Table2[[#This Row],[Annual Miles Traveled:]]*VLOOKUP(Table2[[#This Row],[Engine Model Year:]],EF!$A$2:$G$27,6,FALSE))</f>
        <v/>
      </c>
      <c r="BT66" s="173" t="str">
        <f>IF(Table2[[#This Row],[Counter Number]]="","",Table2[[#This Row],[Annual Miles Traveled:]]*IF(Table2[[#This Row],[New Engine Fuel Type:]]="ULSD",VLOOKUP(Table2[[#This Row],[New Engine Model Year:]],EFTable[],6,FALSE),VLOOKUP(Table2[[#This Row],[New Engine Fuel Type:]],EFTable[],6,FALSE)))</f>
        <v/>
      </c>
      <c r="BU66" s="190" t="str">
        <f>IF(Table2[[#This Row],[Counter Number]]="","",Table2[[#This Row],[Old Bus CO Emissions (tons/yr)]]-Table2[[#This Row],[New Bus CO Emissions (tons/yr)]])</f>
        <v/>
      </c>
      <c r="BV66" s="188" t="str">
        <f>IF(Table2[[#This Row],[Counter Number]]="","",Table2[[#This Row],[Reduction Bus CO Emissions (tons/yr)]]/Table2[[#This Row],[Old Bus CO Emissions (tons/yr)]])</f>
        <v/>
      </c>
      <c r="BW66" s="193" t="str">
        <f>IF(Table2[[#This Row],[Counter Number]]="","",Table2[[#This Row],[Reduction Bus CO Emissions (tons/yr)]]*Table2[[#This Row],[Remaining Life:]])</f>
        <v/>
      </c>
      <c r="BX66" s="194" t="str">
        <f>IF(Table2[[#This Row],[Counter Number]]="","",IF(Table2[[#This Row],[Lifetime CO Reduction (tons)]]=0,"NA",Table2[[#This Row],[Upgrade Cost Per Unit]]/Table2[[#This Row],[Lifetime CO Reduction (tons)]]))</f>
        <v/>
      </c>
      <c r="BY66" s="180" t="str">
        <f>IF(Table2[[#This Row],[Counter Number]]="","",Table2[[#This Row],[Old ULSD Used (gal):]]*VLOOKUP(Table2[[#This Row],[Engine Model Year:]],EF!$A$2:$G$27,7,FALSE))</f>
        <v/>
      </c>
      <c r="BZ6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6" s="195" t="str">
        <f>IF(Table2[[#This Row],[Counter Number]]="","",Table2[[#This Row],[Old Bus CO2 Emissions (tons/yr)]]-Table2[[#This Row],[New Bus CO2 Emissions (tons/yr)]])</f>
        <v/>
      </c>
      <c r="CB66" s="188" t="str">
        <f>IF(Table2[[#This Row],[Counter Number]]="","",Table2[[#This Row],[Reduction Bus CO2 Emissions (tons/yr)]]/Table2[[#This Row],[Old Bus CO2 Emissions (tons/yr)]])</f>
        <v/>
      </c>
      <c r="CC66" s="195" t="str">
        <f>IF(Table2[[#This Row],[Counter Number]]="","",Table2[[#This Row],[Reduction Bus CO2 Emissions (tons/yr)]]*Table2[[#This Row],[Remaining Life:]])</f>
        <v/>
      </c>
      <c r="CD66" s="194" t="str">
        <f>IF(Table2[[#This Row],[Counter Number]]="","",IF(Table2[[#This Row],[Lifetime CO2 Reduction (tons)]]=0,"NA",Table2[[#This Row],[Upgrade Cost Per Unit]]/Table2[[#This Row],[Lifetime CO2 Reduction (tons)]]))</f>
        <v/>
      </c>
      <c r="CE66" s="182" t="str">
        <f>IF(Table2[[#This Row],[Counter Number]]="","",IF(Table2[[#This Row],[New ULSD Used (gal):]]="",Table2[[#This Row],[Old ULSD Used (gal):]],Table2[[#This Row],[Old ULSD Used (gal):]]-Table2[[#This Row],[New ULSD Used (gal):]]))</f>
        <v/>
      </c>
      <c r="CF66" s="196" t="str">
        <f>IF(Table2[[#This Row],[Counter Number]]="","",Table2[[#This Row],[Diesel Fuel Reduction (gal/yr)]]/Table2[[#This Row],[Old ULSD Used (gal):]])</f>
        <v/>
      </c>
      <c r="CG66" s="197" t="str">
        <f>IF(Table2[[#This Row],[Counter Number]]="","",Table2[[#This Row],[Diesel Fuel Reduction (gal/yr)]]*Table2[[#This Row],[Remaining Life:]])</f>
        <v/>
      </c>
    </row>
    <row r="67" spans="1:85">
      <c r="A67" s="184" t="str">
        <f>IF(A66&lt;Application!$D$24,A66+1,"")</f>
        <v/>
      </c>
      <c r="B67" s="60" t="str">
        <f>IF(Table2[[#This Row],[Counter Number]]="","",Application!$D$16)</f>
        <v/>
      </c>
      <c r="C67" s="60" t="str">
        <f>IF(Table2[[#This Row],[Counter Number]]="","",Application!$D$14)</f>
        <v/>
      </c>
      <c r="D67" s="60" t="str">
        <f>IF(Table2[[#This Row],[Counter Number]]="","",Table1[[#This Row],[Old Bus Number]])</f>
        <v/>
      </c>
      <c r="E67" s="60" t="str">
        <f>IF(Table2[[#This Row],[Counter Number]]="","",Application!$D$15)</f>
        <v/>
      </c>
      <c r="F67" s="60" t="str">
        <f>IF(Table2[[#This Row],[Counter Number]]="","","On Highway")</f>
        <v/>
      </c>
      <c r="G67" s="60" t="str">
        <f>IF(Table2[[#This Row],[Counter Number]]="","",I67)</f>
        <v/>
      </c>
      <c r="H67" s="60" t="str">
        <f>IF(Table2[[#This Row],[Counter Number]]="","","Georgia")</f>
        <v/>
      </c>
      <c r="I67" s="60" t="str">
        <f>IF(Table2[[#This Row],[Counter Number]]="","",Application!$D$16)</f>
        <v/>
      </c>
      <c r="J67" s="60" t="str">
        <f>IF(Table2[[#This Row],[Counter Number]]="","",Application!$D$21)</f>
        <v/>
      </c>
      <c r="K67" s="60" t="str">
        <f>IF(Table2[[#This Row],[Counter Number]]="","",Application!$J$21)</f>
        <v/>
      </c>
      <c r="L67" s="60" t="str">
        <f>IF(Table2[[#This Row],[Counter Number]]="","","School Bus")</f>
        <v/>
      </c>
      <c r="M67" s="60" t="str">
        <f>IF(Table2[[#This Row],[Counter Number]]="","","School Bus")</f>
        <v/>
      </c>
      <c r="N67" s="60" t="str">
        <f>IF(Table2[[#This Row],[Counter Number]]="","",1)</f>
        <v/>
      </c>
      <c r="O67" s="60" t="str">
        <f>IF(Table2[[#This Row],[Counter Number]]="","",Table1[[#This Row],[Vehicle Identification Number(s):]])</f>
        <v/>
      </c>
      <c r="P67" s="60" t="str">
        <f>IF(Table2[[#This Row],[Counter Number]]="","",Table1[[#This Row],[Old Bus Manufacturer:]])</f>
        <v/>
      </c>
      <c r="Q67" s="60" t="str">
        <f>IF(Table2[[#This Row],[Counter Number]]="","",Table1[[#This Row],[Vehicle Model:]])</f>
        <v/>
      </c>
      <c r="R67" s="165" t="str">
        <f>IF(Table2[[#This Row],[Counter Number]]="","",Table1[[#This Row],[Vehicle Model Year:]])</f>
        <v/>
      </c>
      <c r="S67" s="60" t="str">
        <f>IF(Table2[[#This Row],[Counter Number]]="","",Table1[[#This Row],[Engine Serial Number(s):]])</f>
        <v/>
      </c>
      <c r="T67" s="60" t="str">
        <f>IF(Table2[[#This Row],[Counter Number]]="","",Table1[[#This Row],[Engine Make:]])</f>
        <v/>
      </c>
      <c r="U67" s="60" t="str">
        <f>IF(Table2[[#This Row],[Counter Number]]="","",Table1[[#This Row],[Engine Model:]])</f>
        <v/>
      </c>
      <c r="V67" s="165" t="str">
        <f>IF(Table2[[#This Row],[Counter Number]]="","",Table1[[#This Row],[Engine Model Year:]])</f>
        <v/>
      </c>
      <c r="W67" s="60" t="str">
        <f>IF(Table2[[#This Row],[Counter Number]]="","","NA")</f>
        <v/>
      </c>
      <c r="X67" s="165" t="str">
        <f>IF(Table2[[#This Row],[Counter Number]]="","",Table1[[#This Row],[Engine Horsepower (HP):]])</f>
        <v/>
      </c>
      <c r="Y67" s="165" t="str">
        <f>IF(Table2[[#This Row],[Counter Number]]="","",Table1[[#This Row],[Engine Cylinder Displacement (L):]]&amp;" L")</f>
        <v/>
      </c>
      <c r="Z67" s="165" t="str">
        <f>IF(Table2[[#This Row],[Counter Number]]="","",Table1[[#This Row],[Engine Number of Cylinders:]])</f>
        <v/>
      </c>
      <c r="AA67" s="166" t="str">
        <f>IF(Table2[[#This Row],[Counter Number]]="","",Table1[[#This Row],[Engine Family Name:]])</f>
        <v/>
      </c>
      <c r="AB67" s="60" t="str">
        <f>IF(Table2[[#This Row],[Counter Number]]="","","ULSD")</f>
        <v/>
      </c>
      <c r="AC67" s="167" t="str">
        <f>IF(Table2[[#This Row],[Counter Number]]="","",Table2[[#This Row],[Annual Miles Traveled:]]/Table1[[#This Row],[Old Fuel (mpg)]])</f>
        <v/>
      </c>
      <c r="AD67" s="60" t="str">
        <f>IF(Table2[[#This Row],[Counter Number]]="","","NA")</f>
        <v/>
      </c>
      <c r="AE67" s="168" t="str">
        <f>IF(Table2[[#This Row],[Counter Number]]="","",Table1[[#This Row],[Annual Miles Traveled]])</f>
        <v/>
      </c>
      <c r="AF67" s="169" t="str">
        <f>IF(Table2[[#This Row],[Counter Number]]="","",Table1[[#This Row],[Annual Idling Hours:]])</f>
        <v/>
      </c>
      <c r="AG67" s="60" t="str">
        <f>IF(Table2[[#This Row],[Counter Number]]="","","NA")</f>
        <v/>
      </c>
      <c r="AH67" s="165" t="str">
        <f>IF(Table2[[#This Row],[Counter Number]]="","",IF(Application!$J$25="Set Policy",Table1[[#This Row],[Remaining Life (years)         Set Policy]],Table1[[#This Row],[Remaining Life (years)               Case-by-Case]]))</f>
        <v/>
      </c>
      <c r="AI67" s="165" t="str">
        <f>IF(Table2[[#This Row],[Counter Number]]="","",IF(Application!$J$25="Case-by-Case","NA",Table2[[#This Row],[Fiscal Year of EPA Funds Used:]]+Table2[[#This Row],[Remaining Life:]]))</f>
        <v/>
      </c>
      <c r="AJ67" s="165"/>
      <c r="AK67" s="170" t="str">
        <f>IF(Table2[[#This Row],[Counter Number]]="","",Application!$D$14+1)</f>
        <v/>
      </c>
      <c r="AL67" s="60" t="str">
        <f>IF(Table2[[#This Row],[Counter Number]]="","","Vehicle Replacement")</f>
        <v/>
      </c>
      <c r="AM6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7" s="171" t="str">
        <f>IF(Table2[[#This Row],[Counter Number]]="","",Table1[[#This Row],[Cost of New Bus:]])</f>
        <v/>
      </c>
      <c r="AO67" s="60" t="str">
        <f>IF(Table2[[#This Row],[Counter Number]]="","","NA")</f>
        <v/>
      </c>
      <c r="AP67" s="165" t="str">
        <f>IF(Table2[[#This Row],[Counter Number]]="","",Table1[[#This Row],[New Engine Model Year:]])</f>
        <v/>
      </c>
      <c r="AQ67" s="60" t="str">
        <f>IF(Table2[[#This Row],[Counter Number]]="","","NA")</f>
        <v/>
      </c>
      <c r="AR67" s="165" t="str">
        <f>IF(Table2[[#This Row],[Counter Number]]="","",Table1[[#This Row],[New Engine Horsepower (HP):]])</f>
        <v/>
      </c>
      <c r="AS67" s="60" t="str">
        <f>IF(Table2[[#This Row],[Counter Number]]="","","NA")</f>
        <v/>
      </c>
      <c r="AT67" s="165" t="str">
        <f>IF(Table2[[#This Row],[Counter Number]]="","",Table1[[#This Row],[New Engine Cylinder Displacement (L):]]&amp;" L")</f>
        <v/>
      </c>
      <c r="AU67" s="114" t="str">
        <f>IF(Table2[[#This Row],[Counter Number]]="","",Table1[[#This Row],[New Engine Number of Cylinders:]])</f>
        <v/>
      </c>
      <c r="AV67" s="60" t="str">
        <f>IF(Table2[[#This Row],[Counter Number]]="","",Table1[[#This Row],[New Engine Family Name:]])</f>
        <v/>
      </c>
      <c r="AW6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7" s="60" t="str">
        <f>IF(Table2[[#This Row],[Counter Number]]="","","NA")</f>
        <v/>
      </c>
      <c r="AY67" s="172" t="str">
        <f>IF(Table2[[#This Row],[Counter Number]]="","",IF(Table2[[#This Row],[New Engine Fuel Type:]]="ULSD",Table1[[#This Row],[Annual Miles Traveled]]/Table1[[#This Row],[New Fuel (mpg) if Diesel]],""))</f>
        <v/>
      </c>
      <c r="AZ67" s="60"/>
      <c r="BA67" s="173" t="str">
        <f>IF(Table2[[#This Row],[Counter Number]]="","",Table2[[#This Row],[Annual Miles Traveled:]]*VLOOKUP(Table2[[#This Row],[Engine Model Year:]],EFTable[],3,FALSE))</f>
        <v/>
      </c>
      <c r="BB67" s="173" t="str">
        <f>IF(Table2[[#This Row],[Counter Number]]="","",Table2[[#This Row],[Annual Miles Traveled:]]*IF(Table2[[#This Row],[New Engine Fuel Type:]]="ULSD",VLOOKUP(Table2[[#This Row],[New Engine Model Year:]],EFTable[],3,FALSE),VLOOKUP(Table2[[#This Row],[New Engine Fuel Type:]],EFTable[],3,FALSE)))</f>
        <v/>
      </c>
      <c r="BC67" s="187" t="str">
        <f>IF(Table2[[#This Row],[Counter Number]]="","",Table2[[#This Row],[Old Bus NOx Emissions (tons/yr)]]-Table2[[#This Row],[New Bus NOx Emissions (tons/yr)]])</f>
        <v/>
      </c>
      <c r="BD67" s="188" t="str">
        <f>IF(Table2[[#This Row],[Counter Number]]="","",Table2[[#This Row],[Reduction Bus NOx Emissions (tons/yr)]]/Table2[[#This Row],[Old Bus NOx Emissions (tons/yr)]])</f>
        <v/>
      </c>
      <c r="BE67" s="175" t="str">
        <f>IF(Table2[[#This Row],[Counter Number]]="","",Table2[[#This Row],[Reduction Bus NOx Emissions (tons/yr)]]*Table2[[#This Row],[Remaining Life:]])</f>
        <v/>
      </c>
      <c r="BF67" s="189" t="str">
        <f>IF(Table2[[#This Row],[Counter Number]]="","",IF(Table2[[#This Row],[Lifetime NOx Reduction (tons)]]=0,"NA",Table2[[#This Row],[Upgrade Cost Per Unit]]/Table2[[#This Row],[Lifetime NOx Reduction (tons)]]))</f>
        <v/>
      </c>
      <c r="BG67" s="190" t="str">
        <f>IF(Table2[[#This Row],[Counter Number]]="","",Table2[[#This Row],[Annual Miles Traveled:]]*VLOOKUP(Table2[[#This Row],[Engine Model Year:]],EF!$A$2:$G$27,4,FALSE))</f>
        <v/>
      </c>
      <c r="BH67" s="173" t="str">
        <f>IF(Table2[[#This Row],[Counter Number]]="","",Table2[[#This Row],[Annual Miles Traveled:]]*IF(Table2[[#This Row],[New Engine Fuel Type:]]="ULSD",VLOOKUP(Table2[[#This Row],[New Engine Model Year:]],EFTable[],4,FALSE),VLOOKUP(Table2[[#This Row],[New Engine Fuel Type:]],EFTable[],4,FALSE)))</f>
        <v/>
      </c>
      <c r="BI67" s="191" t="str">
        <f>IF(Table2[[#This Row],[Counter Number]]="","",Table2[[#This Row],[Old Bus PM2.5 Emissions (tons/yr)]]-Table2[[#This Row],[New Bus PM2.5 Emissions (tons/yr)]])</f>
        <v/>
      </c>
      <c r="BJ67" s="192" t="str">
        <f>IF(Table2[[#This Row],[Counter Number]]="","",Table2[[#This Row],[Reduction Bus PM2.5 Emissions (tons/yr)]]/Table2[[#This Row],[Old Bus PM2.5 Emissions (tons/yr)]])</f>
        <v/>
      </c>
      <c r="BK67" s="193" t="str">
        <f>IF(Table2[[#This Row],[Counter Number]]="","",Table2[[#This Row],[Reduction Bus PM2.5 Emissions (tons/yr)]]*Table2[[#This Row],[Remaining Life:]])</f>
        <v/>
      </c>
      <c r="BL67" s="194" t="str">
        <f>IF(Table2[[#This Row],[Counter Number]]="","",IF(Table2[[#This Row],[Lifetime PM2.5 Reduction (tons)]]=0,"NA",Table2[[#This Row],[Upgrade Cost Per Unit]]/Table2[[#This Row],[Lifetime PM2.5 Reduction (tons)]]))</f>
        <v/>
      </c>
      <c r="BM67" s="179" t="str">
        <f>IF(Table2[[#This Row],[Counter Number]]="","",Table2[[#This Row],[Annual Miles Traveled:]]*VLOOKUP(Table2[[#This Row],[Engine Model Year:]],EF!$A$2:$G$40,5,FALSE))</f>
        <v/>
      </c>
      <c r="BN67" s="173" t="str">
        <f>IF(Table2[[#This Row],[Counter Number]]="","",Table2[[#This Row],[Annual Miles Traveled:]]*IF(Table2[[#This Row],[New Engine Fuel Type:]]="ULSD",VLOOKUP(Table2[[#This Row],[New Engine Model Year:]],EFTable[],5,FALSE),VLOOKUP(Table2[[#This Row],[New Engine Fuel Type:]],EFTable[],5,FALSE)))</f>
        <v/>
      </c>
      <c r="BO67" s="190" t="str">
        <f>IF(Table2[[#This Row],[Counter Number]]="","",Table2[[#This Row],[Old Bus HC Emissions (tons/yr)]]-Table2[[#This Row],[New Bus HC Emissions (tons/yr)]])</f>
        <v/>
      </c>
      <c r="BP67" s="188" t="str">
        <f>IF(Table2[[#This Row],[Counter Number]]="","",Table2[[#This Row],[Reduction Bus HC Emissions (tons/yr)]]/Table2[[#This Row],[Old Bus HC Emissions (tons/yr)]])</f>
        <v/>
      </c>
      <c r="BQ67" s="193" t="str">
        <f>IF(Table2[[#This Row],[Counter Number]]="","",Table2[[#This Row],[Reduction Bus HC Emissions (tons/yr)]]*Table2[[#This Row],[Remaining Life:]])</f>
        <v/>
      </c>
      <c r="BR67" s="194" t="str">
        <f>IF(Table2[[#This Row],[Counter Number]]="","",IF(Table2[[#This Row],[Lifetime HC Reduction (tons)]]=0,"NA",Table2[[#This Row],[Upgrade Cost Per Unit]]/Table2[[#This Row],[Lifetime HC Reduction (tons)]]))</f>
        <v/>
      </c>
      <c r="BS67" s="191" t="str">
        <f>IF(Table2[[#This Row],[Counter Number]]="","",Table2[[#This Row],[Annual Miles Traveled:]]*VLOOKUP(Table2[[#This Row],[Engine Model Year:]],EF!$A$2:$G$27,6,FALSE))</f>
        <v/>
      </c>
      <c r="BT67" s="173" t="str">
        <f>IF(Table2[[#This Row],[Counter Number]]="","",Table2[[#This Row],[Annual Miles Traveled:]]*IF(Table2[[#This Row],[New Engine Fuel Type:]]="ULSD",VLOOKUP(Table2[[#This Row],[New Engine Model Year:]],EFTable[],6,FALSE),VLOOKUP(Table2[[#This Row],[New Engine Fuel Type:]],EFTable[],6,FALSE)))</f>
        <v/>
      </c>
      <c r="BU67" s="190" t="str">
        <f>IF(Table2[[#This Row],[Counter Number]]="","",Table2[[#This Row],[Old Bus CO Emissions (tons/yr)]]-Table2[[#This Row],[New Bus CO Emissions (tons/yr)]])</f>
        <v/>
      </c>
      <c r="BV67" s="188" t="str">
        <f>IF(Table2[[#This Row],[Counter Number]]="","",Table2[[#This Row],[Reduction Bus CO Emissions (tons/yr)]]/Table2[[#This Row],[Old Bus CO Emissions (tons/yr)]])</f>
        <v/>
      </c>
      <c r="BW67" s="193" t="str">
        <f>IF(Table2[[#This Row],[Counter Number]]="","",Table2[[#This Row],[Reduction Bus CO Emissions (tons/yr)]]*Table2[[#This Row],[Remaining Life:]])</f>
        <v/>
      </c>
      <c r="BX67" s="194" t="str">
        <f>IF(Table2[[#This Row],[Counter Number]]="","",IF(Table2[[#This Row],[Lifetime CO Reduction (tons)]]=0,"NA",Table2[[#This Row],[Upgrade Cost Per Unit]]/Table2[[#This Row],[Lifetime CO Reduction (tons)]]))</f>
        <v/>
      </c>
      <c r="BY67" s="180" t="str">
        <f>IF(Table2[[#This Row],[Counter Number]]="","",Table2[[#This Row],[Old ULSD Used (gal):]]*VLOOKUP(Table2[[#This Row],[Engine Model Year:]],EF!$A$2:$G$27,7,FALSE))</f>
        <v/>
      </c>
      <c r="BZ6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7" s="195" t="str">
        <f>IF(Table2[[#This Row],[Counter Number]]="","",Table2[[#This Row],[Old Bus CO2 Emissions (tons/yr)]]-Table2[[#This Row],[New Bus CO2 Emissions (tons/yr)]])</f>
        <v/>
      </c>
      <c r="CB67" s="188" t="str">
        <f>IF(Table2[[#This Row],[Counter Number]]="","",Table2[[#This Row],[Reduction Bus CO2 Emissions (tons/yr)]]/Table2[[#This Row],[Old Bus CO2 Emissions (tons/yr)]])</f>
        <v/>
      </c>
      <c r="CC67" s="195" t="str">
        <f>IF(Table2[[#This Row],[Counter Number]]="","",Table2[[#This Row],[Reduction Bus CO2 Emissions (tons/yr)]]*Table2[[#This Row],[Remaining Life:]])</f>
        <v/>
      </c>
      <c r="CD67" s="194" t="str">
        <f>IF(Table2[[#This Row],[Counter Number]]="","",IF(Table2[[#This Row],[Lifetime CO2 Reduction (tons)]]=0,"NA",Table2[[#This Row],[Upgrade Cost Per Unit]]/Table2[[#This Row],[Lifetime CO2 Reduction (tons)]]))</f>
        <v/>
      </c>
      <c r="CE67" s="182" t="str">
        <f>IF(Table2[[#This Row],[Counter Number]]="","",IF(Table2[[#This Row],[New ULSD Used (gal):]]="",Table2[[#This Row],[Old ULSD Used (gal):]],Table2[[#This Row],[Old ULSD Used (gal):]]-Table2[[#This Row],[New ULSD Used (gal):]]))</f>
        <v/>
      </c>
      <c r="CF67" s="196" t="str">
        <f>IF(Table2[[#This Row],[Counter Number]]="","",Table2[[#This Row],[Diesel Fuel Reduction (gal/yr)]]/Table2[[#This Row],[Old ULSD Used (gal):]])</f>
        <v/>
      </c>
      <c r="CG67" s="197" t="str">
        <f>IF(Table2[[#This Row],[Counter Number]]="","",Table2[[#This Row],[Diesel Fuel Reduction (gal/yr)]]*Table2[[#This Row],[Remaining Life:]])</f>
        <v/>
      </c>
    </row>
    <row r="68" spans="1:85">
      <c r="A68" s="184" t="str">
        <f>IF(A67&lt;Application!$D$24,A67+1,"")</f>
        <v/>
      </c>
      <c r="B68" s="60" t="str">
        <f>IF(Table2[[#This Row],[Counter Number]]="","",Application!$D$16)</f>
        <v/>
      </c>
      <c r="C68" s="60" t="str">
        <f>IF(Table2[[#This Row],[Counter Number]]="","",Application!$D$14)</f>
        <v/>
      </c>
      <c r="D68" s="60" t="str">
        <f>IF(Table2[[#This Row],[Counter Number]]="","",Table1[[#This Row],[Old Bus Number]])</f>
        <v/>
      </c>
      <c r="E68" s="60" t="str">
        <f>IF(Table2[[#This Row],[Counter Number]]="","",Application!$D$15)</f>
        <v/>
      </c>
      <c r="F68" s="60" t="str">
        <f>IF(Table2[[#This Row],[Counter Number]]="","","On Highway")</f>
        <v/>
      </c>
      <c r="G68" s="60" t="str">
        <f>IF(Table2[[#This Row],[Counter Number]]="","",I68)</f>
        <v/>
      </c>
      <c r="H68" s="60" t="str">
        <f>IF(Table2[[#This Row],[Counter Number]]="","","Georgia")</f>
        <v/>
      </c>
      <c r="I68" s="60" t="str">
        <f>IF(Table2[[#This Row],[Counter Number]]="","",Application!$D$16)</f>
        <v/>
      </c>
      <c r="J68" s="60" t="str">
        <f>IF(Table2[[#This Row],[Counter Number]]="","",Application!$D$21)</f>
        <v/>
      </c>
      <c r="K68" s="60" t="str">
        <f>IF(Table2[[#This Row],[Counter Number]]="","",Application!$J$21)</f>
        <v/>
      </c>
      <c r="L68" s="60" t="str">
        <f>IF(Table2[[#This Row],[Counter Number]]="","","School Bus")</f>
        <v/>
      </c>
      <c r="M68" s="60" t="str">
        <f>IF(Table2[[#This Row],[Counter Number]]="","","School Bus")</f>
        <v/>
      </c>
      <c r="N68" s="60" t="str">
        <f>IF(Table2[[#This Row],[Counter Number]]="","",1)</f>
        <v/>
      </c>
      <c r="O68" s="60" t="str">
        <f>IF(Table2[[#This Row],[Counter Number]]="","",Table1[[#This Row],[Vehicle Identification Number(s):]])</f>
        <v/>
      </c>
      <c r="P68" s="60" t="str">
        <f>IF(Table2[[#This Row],[Counter Number]]="","",Table1[[#This Row],[Old Bus Manufacturer:]])</f>
        <v/>
      </c>
      <c r="Q68" s="60" t="str">
        <f>IF(Table2[[#This Row],[Counter Number]]="","",Table1[[#This Row],[Vehicle Model:]])</f>
        <v/>
      </c>
      <c r="R68" s="165" t="str">
        <f>IF(Table2[[#This Row],[Counter Number]]="","",Table1[[#This Row],[Vehicle Model Year:]])</f>
        <v/>
      </c>
      <c r="S68" s="60" t="str">
        <f>IF(Table2[[#This Row],[Counter Number]]="","",Table1[[#This Row],[Engine Serial Number(s):]])</f>
        <v/>
      </c>
      <c r="T68" s="60" t="str">
        <f>IF(Table2[[#This Row],[Counter Number]]="","",Table1[[#This Row],[Engine Make:]])</f>
        <v/>
      </c>
      <c r="U68" s="60" t="str">
        <f>IF(Table2[[#This Row],[Counter Number]]="","",Table1[[#This Row],[Engine Model:]])</f>
        <v/>
      </c>
      <c r="V68" s="165" t="str">
        <f>IF(Table2[[#This Row],[Counter Number]]="","",Table1[[#This Row],[Engine Model Year:]])</f>
        <v/>
      </c>
      <c r="W68" s="60" t="str">
        <f>IF(Table2[[#This Row],[Counter Number]]="","","NA")</f>
        <v/>
      </c>
      <c r="X68" s="165" t="str">
        <f>IF(Table2[[#This Row],[Counter Number]]="","",Table1[[#This Row],[Engine Horsepower (HP):]])</f>
        <v/>
      </c>
      <c r="Y68" s="165" t="str">
        <f>IF(Table2[[#This Row],[Counter Number]]="","",Table1[[#This Row],[Engine Cylinder Displacement (L):]]&amp;" L")</f>
        <v/>
      </c>
      <c r="Z68" s="165" t="str">
        <f>IF(Table2[[#This Row],[Counter Number]]="","",Table1[[#This Row],[Engine Number of Cylinders:]])</f>
        <v/>
      </c>
      <c r="AA68" s="166" t="str">
        <f>IF(Table2[[#This Row],[Counter Number]]="","",Table1[[#This Row],[Engine Family Name:]])</f>
        <v/>
      </c>
      <c r="AB68" s="60" t="str">
        <f>IF(Table2[[#This Row],[Counter Number]]="","","ULSD")</f>
        <v/>
      </c>
      <c r="AC68" s="167" t="str">
        <f>IF(Table2[[#This Row],[Counter Number]]="","",Table2[[#This Row],[Annual Miles Traveled:]]/Table1[[#This Row],[Old Fuel (mpg)]])</f>
        <v/>
      </c>
      <c r="AD68" s="60" t="str">
        <f>IF(Table2[[#This Row],[Counter Number]]="","","NA")</f>
        <v/>
      </c>
      <c r="AE68" s="168" t="str">
        <f>IF(Table2[[#This Row],[Counter Number]]="","",Table1[[#This Row],[Annual Miles Traveled]])</f>
        <v/>
      </c>
      <c r="AF68" s="169" t="str">
        <f>IF(Table2[[#This Row],[Counter Number]]="","",Table1[[#This Row],[Annual Idling Hours:]])</f>
        <v/>
      </c>
      <c r="AG68" s="60" t="str">
        <f>IF(Table2[[#This Row],[Counter Number]]="","","NA")</f>
        <v/>
      </c>
      <c r="AH68" s="165" t="str">
        <f>IF(Table2[[#This Row],[Counter Number]]="","",IF(Application!$J$25="Set Policy",Table1[[#This Row],[Remaining Life (years)         Set Policy]],Table1[[#This Row],[Remaining Life (years)               Case-by-Case]]))</f>
        <v/>
      </c>
      <c r="AI68" s="165" t="str">
        <f>IF(Table2[[#This Row],[Counter Number]]="","",IF(Application!$J$25="Case-by-Case","NA",Table2[[#This Row],[Fiscal Year of EPA Funds Used:]]+Table2[[#This Row],[Remaining Life:]]))</f>
        <v/>
      </c>
      <c r="AJ68" s="165"/>
      <c r="AK68" s="170" t="str">
        <f>IF(Table2[[#This Row],[Counter Number]]="","",Application!$D$14+1)</f>
        <v/>
      </c>
      <c r="AL68" s="60" t="str">
        <f>IF(Table2[[#This Row],[Counter Number]]="","","Vehicle Replacement")</f>
        <v/>
      </c>
      <c r="AM6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8" s="171" t="str">
        <f>IF(Table2[[#This Row],[Counter Number]]="","",Table1[[#This Row],[Cost of New Bus:]])</f>
        <v/>
      </c>
      <c r="AO68" s="60" t="str">
        <f>IF(Table2[[#This Row],[Counter Number]]="","","NA")</f>
        <v/>
      </c>
      <c r="AP68" s="165" t="str">
        <f>IF(Table2[[#This Row],[Counter Number]]="","",Table1[[#This Row],[New Engine Model Year:]])</f>
        <v/>
      </c>
      <c r="AQ68" s="60" t="str">
        <f>IF(Table2[[#This Row],[Counter Number]]="","","NA")</f>
        <v/>
      </c>
      <c r="AR68" s="165" t="str">
        <f>IF(Table2[[#This Row],[Counter Number]]="","",Table1[[#This Row],[New Engine Horsepower (HP):]])</f>
        <v/>
      </c>
      <c r="AS68" s="60" t="str">
        <f>IF(Table2[[#This Row],[Counter Number]]="","","NA")</f>
        <v/>
      </c>
      <c r="AT68" s="165" t="str">
        <f>IF(Table2[[#This Row],[Counter Number]]="","",Table1[[#This Row],[New Engine Cylinder Displacement (L):]]&amp;" L")</f>
        <v/>
      </c>
      <c r="AU68" s="114" t="str">
        <f>IF(Table2[[#This Row],[Counter Number]]="","",Table1[[#This Row],[New Engine Number of Cylinders:]])</f>
        <v/>
      </c>
      <c r="AV68" s="60" t="str">
        <f>IF(Table2[[#This Row],[Counter Number]]="","",Table1[[#This Row],[New Engine Family Name:]])</f>
        <v/>
      </c>
      <c r="AW6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8" s="60" t="str">
        <f>IF(Table2[[#This Row],[Counter Number]]="","","NA")</f>
        <v/>
      </c>
      <c r="AY68" s="172" t="str">
        <f>IF(Table2[[#This Row],[Counter Number]]="","",IF(Table2[[#This Row],[New Engine Fuel Type:]]="ULSD",Table1[[#This Row],[Annual Miles Traveled]]/Table1[[#This Row],[New Fuel (mpg) if Diesel]],""))</f>
        <v/>
      </c>
      <c r="AZ68" s="60"/>
      <c r="BA68" s="173" t="str">
        <f>IF(Table2[[#This Row],[Counter Number]]="","",Table2[[#This Row],[Annual Miles Traveled:]]*VLOOKUP(Table2[[#This Row],[Engine Model Year:]],EFTable[],3,FALSE))</f>
        <v/>
      </c>
      <c r="BB68" s="173" t="str">
        <f>IF(Table2[[#This Row],[Counter Number]]="","",Table2[[#This Row],[Annual Miles Traveled:]]*IF(Table2[[#This Row],[New Engine Fuel Type:]]="ULSD",VLOOKUP(Table2[[#This Row],[New Engine Model Year:]],EFTable[],3,FALSE),VLOOKUP(Table2[[#This Row],[New Engine Fuel Type:]],EFTable[],3,FALSE)))</f>
        <v/>
      </c>
      <c r="BC68" s="187" t="str">
        <f>IF(Table2[[#This Row],[Counter Number]]="","",Table2[[#This Row],[Old Bus NOx Emissions (tons/yr)]]-Table2[[#This Row],[New Bus NOx Emissions (tons/yr)]])</f>
        <v/>
      </c>
      <c r="BD68" s="188" t="str">
        <f>IF(Table2[[#This Row],[Counter Number]]="","",Table2[[#This Row],[Reduction Bus NOx Emissions (tons/yr)]]/Table2[[#This Row],[Old Bus NOx Emissions (tons/yr)]])</f>
        <v/>
      </c>
      <c r="BE68" s="175" t="str">
        <f>IF(Table2[[#This Row],[Counter Number]]="","",Table2[[#This Row],[Reduction Bus NOx Emissions (tons/yr)]]*Table2[[#This Row],[Remaining Life:]])</f>
        <v/>
      </c>
      <c r="BF68" s="189" t="str">
        <f>IF(Table2[[#This Row],[Counter Number]]="","",IF(Table2[[#This Row],[Lifetime NOx Reduction (tons)]]=0,"NA",Table2[[#This Row],[Upgrade Cost Per Unit]]/Table2[[#This Row],[Lifetime NOx Reduction (tons)]]))</f>
        <v/>
      </c>
      <c r="BG68" s="190" t="str">
        <f>IF(Table2[[#This Row],[Counter Number]]="","",Table2[[#This Row],[Annual Miles Traveled:]]*VLOOKUP(Table2[[#This Row],[Engine Model Year:]],EF!$A$2:$G$27,4,FALSE))</f>
        <v/>
      </c>
      <c r="BH68" s="173" t="str">
        <f>IF(Table2[[#This Row],[Counter Number]]="","",Table2[[#This Row],[Annual Miles Traveled:]]*IF(Table2[[#This Row],[New Engine Fuel Type:]]="ULSD",VLOOKUP(Table2[[#This Row],[New Engine Model Year:]],EFTable[],4,FALSE),VLOOKUP(Table2[[#This Row],[New Engine Fuel Type:]],EFTable[],4,FALSE)))</f>
        <v/>
      </c>
      <c r="BI68" s="191" t="str">
        <f>IF(Table2[[#This Row],[Counter Number]]="","",Table2[[#This Row],[Old Bus PM2.5 Emissions (tons/yr)]]-Table2[[#This Row],[New Bus PM2.5 Emissions (tons/yr)]])</f>
        <v/>
      </c>
      <c r="BJ68" s="192" t="str">
        <f>IF(Table2[[#This Row],[Counter Number]]="","",Table2[[#This Row],[Reduction Bus PM2.5 Emissions (tons/yr)]]/Table2[[#This Row],[Old Bus PM2.5 Emissions (tons/yr)]])</f>
        <v/>
      </c>
      <c r="BK68" s="193" t="str">
        <f>IF(Table2[[#This Row],[Counter Number]]="","",Table2[[#This Row],[Reduction Bus PM2.5 Emissions (tons/yr)]]*Table2[[#This Row],[Remaining Life:]])</f>
        <v/>
      </c>
      <c r="BL68" s="194" t="str">
        <f>IF(Table2[[#This Row],[Counter Number]]="","",IF(Table2[[#This Row],[Lifetime PM2.5 Reduction (tons)]]=0,"NA",Table2[[#This Row],[Upgrade Cost Per Unit]]/Table2[[#This Row],[Lifetime PM2.5 Reduction (tons)]]))</f>
        <v/>
      </c>
      <c r="BM68" s="179" t="str">
        <f>IF(Table2[[#This Row],[Counter Number]]="","",Table2[[#This Row],[Annual Miles Traveled:]]*VLOOKUP(Table2[[#This Row],[Engine Model Year:]],EF!$A$2:$G$40,5,FALSE))</f>
        <v/>
      </c>
      <c r="BN68" s="173" t="str">
        <f>IF(Table2[[#This Row],[Counter Number]]="","",Table2[[#This Row],[Annual Miles Traveled:]]*IF(Table2[[#This Row],[New Engine Fuel Type:]]="ULSD",VLOOKUP(Table2[[#This Row],[New Engine Model Year:]],EFTable[],5,FALSE),VLOOKUP(Table2[[#This Row],[New Engine Fuel Type:]],EFTable[],5,FALSE)))</f>
        <v/>
      </c>
      <c r="BO68" s="190" t="str">
        <f>IF(Table2[[#This Row],[Counter Number]]="","",Table2[[#This Row],[Old Bus HC Emissions (tons/yr)]]-Table2[[#This Row],[New Bus HC Emissions (tons/yr)]])</f>
        <v/>
      </c>
      <c r="BP68" s="188" t="str">
        <f>IF(Table2[[#This Row],[Counter Number]]="","",Table2[[#This Row],[Reduction Bus HC Emissions (tons/yr)]]/Table2[[#This Row],[Old Bus HC Emissions (tons/yr)]])</f>
        <v/>
      </c>
      <c r="BQ68" s="193" t="str">
        <f>IF(Table2[[#This Row],[Counter Number]]="","",Table2[[#This Row],[Reduction Bus HC Emissions (tons/yr)]]*Table2[[#This Row],[Remaining Life:]])</f>
        <v/>
      </c>
      <c r="BR68" s="194" t="str">
        <f>IF(Table2[[#This Row],[Counter Number]]="","",IF(Table2[[#This Row],[Lifetime HC Reduction (tons)]]=0,"NA",Table2[[#This Row],[Upgrade Cost Per Unit]]/Table2[[#This Row],[Lifetime HC Reduction (tons)]]))</f>
        <v/>
      </c>
      <c r="BS68" s="191" t="str">
        <f>IF(Table2[[#This Row],[Counter Number]]="","",Table2[[#This Row],[Annual Miles Traveled:]]*VLOOKUP(Table2[[#This Row],[Engine Model Year:]],EF!$A$2:$G$27,6,FALSE))</f>
        <v/>
      </c>
      <c r="BT68" s="173" t="str">
        <f>IF(Table2[[#This Row],[Counter Number]]="","",Table2[[#This Row],[Annual Miles Traveled:]]*IF(Table2[[#This Row],[New Engine Fuel Type:]]="ULSD",VLOOKUP(Table2[[#This Row],[New Engine Model Year:]],EFTable[],6,FALSE),VLOOKUP(Table2[[#This Row],[New Engine Fuel Type:]],EFTable[],6,FALSE)))</f>
        <v/>
      </c>
      <c r="BU68" s="190" t="str">
        <f>IF(Table2[[#This Row],[Counter Number]]="","",Table2[[#This Row],[Old Bus CO Emissions (tons/yr)]]-Table2[[#This Row],[New Bus CO Emissions (tons/yr)]])</f>
        <v/>
      </c>
      <c r="BV68" s="188" t="str">
        <f>IF(Table2[[#This Row],[Counter Number]]="","",Table2[[#This Row],[Reduction Bus CO Emissions (tons/yr)]]/Table2[[#This Row],[Old Bus CO Emissions (tons/yr)]])</f>
        <v/>
      </c>
      <c r="BW68" s="193" t="str">
        <f>IF(Table2[[#This Row],[Counter Number]]="","",Table2[[#This Row],[Reduction Bus CO Emissions (tons/yr)]]*Table2[[#This Row],[Remaining Life:]])</f>
        <v/>
      </c>
      <c r="BX68" s="194" t="str">
        <f>IF(Table2[[#This Row],[Counter Number]]="","",IF(Table2[[#This Row],[Lifetime CO Reduction (tons)]]=0,"NA",Table2[[#This Row],[Upgrade Cost Per Unit]]/Table2[[#This Row],[Lifetime CO Reduction (tons)]]))</f>
        <v/>
      </c>
      <c r="BY68" s="180" t="str">
        <f>IF(Table2[[#This Row],[Counter Number]]="","",Table2[[#This Row],[Old ULSD Used (gal):]]*VLOOKUP(Table2[[#This Row],[Engine Model Year:]],EF!$A$2:$G$27,7,FALSE))</f>
        <v/>
      </c>
      <c r="BZ6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8" s="195" t="str">
        <f>IF(Table2[[#This Row],[Counter Number]]="","",Table2[[#This Row],[Old Bus CO2 Emissions (tons/yr)]]-Table2[[#This Row],[New Bus CO2 Emissions (tons/yr)]])</f>
        <v/>
      </c>
      <c r="CB68" s="188" t="str">
        <f>IF(Table2[[#This Row],[Counter Number]]="","",Table2[[#This Row],[Reduction Bus CO2 Emissions (tons/yr)]]/Table2[[#This Row],[Old Bus CO2 Emissions (tons/yr)]])</f>
        <v/>
      </c>
      <c r="CC68" s="195" t="str">
        <f>IF(Table2[[#This Row],[Counter Number]]="","",Table2[[#This Row],[Reduction Bus CO2 Emissions (tons/yr)]]*Table2[[#This Row],[Remaining Life:]])</f>
        <v/>
      </c>
      <c r="CD68" s="194" t="str">
        <f>IF(Table2[[#This Row],[Counter Number]]="","",IF(Table2[[#This Row],[Lifetime CO2 Reduction (tons)]]=0,"NA",Table2[[#This Row],[Upgrade Cost Per Unit]]/Table2[[#This Row],[Lifetime CO2 Reduction (tons)]]))</f>
        <v/>
      </c>
      <c r="CE68" s="182" t="str">
        <f>IF(Table2[[#This Row],[Counter Number]]="","",IF(Table2[[#This Row],[New ULSD Used (gal):]]="",Table2[[#This Row],[Old ULSD Used (gal):]],Table2[[#This Row],[Old ULSD Used (gal):]]-Table2[[#This Row],[New ULSD Used (gal):]]))</f>
        <v/>
      </c>
      <c r="CF68" s="196" t="str">
        <f>IF(Table2[[#This Row],[Counter Number]]="","",Table2[[#This Row],[Diesel Fuel Reduction (gal/yr)]]/Table2[[#This Row],[Old ULSD Used (gal):]])</f>
        <v/>
      </c>
      <c r="CG68" s="197" t="str">
        <f>IF(Table2[[#This Row],[Counter Number]]="","",Table2[[#This Row],[Diesel Fuel Reduction (gal/yr)]]*Table2[[#This Row],[Remaining Life:]])</f>
        <v/>
      </c>
    </row>
    <row r="69" spans="1:85">
      <c r="A69" s="184" t="str">
        <f>IF(A68&lt;Application!$D$24,A68+1,"")</f>
        <v/>
      </c>
      <c r="B69" s="60" t="str">
        <f>IF(Table2[[#This Row],[Counter Number]]="","",Application!$D$16)</f>
        <v/>
      </c>
      <c r="C69" s="60" t="str">
        <f>IF(Table2[[#This Row],[Counter Number]]="","",Application!$D$14)</f>
        <v/>
      </c>
      <c r="D69" s="60" t="str">
        <f>IF(Table2[[#This Row],[Counter Number]]="","",Table1[[#This Row],[Old Bus Number]])</f>
        <v/>
      </c>
      <c r="E69" s="60" t="str">
        <f>IF(Table2[[#This Row],[Counter Number]]="","",Application!$D$15)</f>
        <v/>
      </c>
      <c r="F69" s="60" t="str">
        <f>IF(Table2[[#This Row],[Counter Number]]="","","On Highway")</f>
        <v/>
      </c>
      <c r="G69" s="60" t="str">
        <f>IF(Table2[[#This Row],[Counter Number]]="","",I69)</f>
        <v/>
      </c>
      <c r="H69" s="60" t="str">
        <f>IF(Table2[[#This Row],[Counter Number]]="","","Georgia")</f>
        <v/>
      </c>
      <c r="I69" s="60" t="str">
        <f>IF(Table2[[#This Row],[Counter Number]]="","",Application!$D$16)</f>
        <v/>
      </c>
      <c r="J69" s="60" t="str">
        <f>IF(Table2[[#This Row],[Counter Number]]="","",Application!$D$21)</f>
        <v/>
      </c>
      <c r="K69" s="60" t="str">
        <f>IF(Table2[[#This Row],[Counter Number]]="","",Application!$J$21)</f>
        <v/>
      </c>
      <c r="L69" s="60" t="str">
        <f>IF(Table2[[#This Row],[Counter Number]]="","","School Bus")</f>
        <v/>
      </c>
      <c r="M69" s="60" t="str">
        <f>IF(Table2[[#This Row],[Counter Number]]="","","School Bus")</f>
        <v/>
      </c>
      <c r="N69" s="60" t="str">
        <f>IF(Table2[[#This Row],[Counter Number]]="","",1)</f>
        <v/>
      </c>
      <c r="O69" s="60" t="str">
        <f>IF(Table2[[#This Row],[Counter Number]]="","",Table1[[#This Row],[Vehicle Identification Number(s):]])</f>
        <v/>
      </c>
      <c r="P69" s="60" t="str">
        <f>IF(Table2[[#This Row],[Counter Number]]="","",Table1[[#This Row],[Old Bus Manufacturer:]])</f>
        <v/>
      </c>
      <c r="Q69" s="60" t="str">
        <f>IF(Table2[[#This Row],[Counter Number]]="","",Table1[[#This Row],[Vehicle Model:]])</f>
        <v/>
      </c>
      <c r="R69" s="165" t="str">
        <f>IF(Table2[[#This Row],[Counter Number]]="","",Table1[[#This Row],[Vehicle Model Year:]])</f>
        <v/>
      </c>
      <c r="S69" s="60" t="str">
        <f>IF(Table2[[#This Row],[Counter Number]]="","",Table1[[#This Row],[Engine Serial Number(s):]])</f>
        <v/>
      </c>
      <c r="T69" s="60" t="str">
        <f>IF(Table2[[#This Row],[Counter Number]]="","",Table1[[#This Row],[Engine Make:]])</f>
        <v/>
      </c>
      <c r="U69" s="60" t="str">
        <f>IF(Table2[[#This Row],[Counter Number]]="","",Table1[[#This Row],[Engine Model:]])</f>
        <v/>
      </c>
      <c r="V69" s="165" t="str">
        <f>IF(Table2[[#This Row],[Counter Number]]="","",Table1[[#This Row],[Engine Model Year:]])</f>
        <v/>
      </c>
      <c r="W69" s="60" t="str">
        <f>IF(Table2[[#This Row],[Counter Number]]="","","NA")</f>
        <v/>
      </c>
      <c r="X69" s="165" t="str">
        <f>IF(Table2[[#This Row],[Counter Number]]="","",Table1[[#This Row],[Engine Horsepower (HP):]])</f>
        <v/>
      </c>
      <c r="Y69" s="165" t="str">
        <f>IF(Table2[[#This Row],[Counter Number]]="","",Table1[[#This Row],[Engine Cylinder Displacement (L):]]&amp;" L")</f>
        <v/>
      </c>
      <c r="Z69" s="165" t="str">
        <f>IF(Table2[[#This Row],[Counter Number]]="","",Table1[[#This Row],[Engine Number of Cylinders:]])</f>
        <v/>
      </c>
      <c r="AA69" s="166" t="str">
        <f>IF(Table2[[#This Row],[Counter Number]]="","",Table1[[#This Row],[Engine Family Name:]])</f>
        <v/>
      </c>
      <c r="AB69" s="60" t="str">
        <f>IF(Table2[[#This Row],[Counter Number]]="","","ULSD")</f>
        <v/>
      </c>
      <c r="AC69" s="167" t="str">
        <f>IF(Table2[[#This Row],[Counter Number]]="","",Table2[[#This Row],[Annual Miles Traveled:]]/Table1[[#This Row],[Old Fuel (mpg)]])</f>
        <v/>
      </c>
      <c r="AD69" s="60" t="str">
        <f>IF(Table2[[#This Row],[Counter Number]]="","","NA")</f>
        <v/>
      </c>
      <c r="AE69" s="168" t="str">
        <f>IF(Table2[[#This Row],[Counter Number]]="","",Table1[[#This Row],[Annual Miles Traveled]])</f>
        <v/>
      </c>
      <c r="AF69" s="169" t="str">
        <f>IF(Table2[[#This Row],[Counter Number]]="","",Table1[[#This Row],[Annual Idling Hours:]])</f>
        <v/>
      </c>
      <c r="AG69" s="60" t="str">
        <f>IF(Table2[[#This Row],[Counter Number]]="","","NA")</f>
        <v/>
      </c>
      <c r="AH69" s="165" t="str">
        <f>IF(Table2[[#This Row],[Counter Number]]="","",IF(Application!$J$25="Set Policy",Table1[[#This Row],[Remaining Life (years)         Set Policy]],Table1[[#This Row],[Remaining Life (years)               Case-by-Case]]))</f>
        <v/>
      </c>
      <c r="AI69" s="165" t="str">
        <f>IF(Table2[[#This Row],[Counter Number]]="","",IF(Application!$J$25="Case-by-Case","NA",Table2[[#This Row],[Fiscal Year of EPA Funds Used:]]+Table2[[#This Row],[Remaining Life:]]))</f>
        <v/>
      </c>
      <c r="AJ69" s="165"/>
      <c r="AK69" s="170" t="str">
        <f>IF(Table2[[#This Row],[Counter Number]]="","",Application!$D$14+1)</f>
        <v/>
      </c>
      <c r="AL69" s="60" t="str">
        <f>IF(Table2[[#This Row],[Counter Number]]="","","Vehicle Replacement")</f>
        <v/>
      </c>
      <c r="AM6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9" s="171" t="str">
        <f>IF(Table2[[#This Row],[Counter Number]]="","",Table1[[#This Row],[Cost of New Bus:]])</f>
        <v/>
      </c>
      <c r="AO69" s="60" t="str">
        <f>IF(Table2[[#This Row],[Counter Number]]="","","NA")</f>
        <v/>
      </c>
      <c r="AP69" s="165" t="str">
        <f>IF(Table2[[#This Row],[Counter Number]]="","",Table1[[#This Row],[New Engine Model Year:]])</f>
        <v/>
      </c>
      <c r="AQ69" s="60" t="str">
        <f>IF(Table2[[#This Row],[Counter Number]]="","","NA")</f>
        <v/>
      </c>
      <c r="AR69" s="165" t="str">
        <f>IF(Table2[[#This Row],[Counter Number]]="","",Table1[[#This Row],[New Engine Horsepower (HP):]])</f>
        <v/>
      </c>
      <c r="AS69" s="60" t="str">
        <f>IF(Table2[[#This Row],[Counter Number]]="","","NA")</f>
        <v/>
      </c>
      <c r="AT69" s="165" t="str">
        <f>IF(Table2[[#This Row],[Counter Number]]="","",Table1[[#This Row],[New Engine Cylinder Displacement (L):]]&amp;" L")</f>
        <v/>
      </c>
      <c r="AU69" s="114" t="str">
        <f>IF(Table2[[#This Row],[Counter Number]]="","",Table1[[#This Row],[New Engine Number of Cylinders:]])</f>
        <v/>
      </c>
      <c r="AV69" s="60" t="str">
        <f>IF(Table2[[#This Row],[Counter Number]]="","",Table1[[#This Row],[New Engine Family Name:]])</f>
        <v/>
      </c>
      <c r="AW6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9" s="60" t="str">
        <f>IF(Table2[[#This Row],[Counter Number]]="","","NA")</f>
        <v/>
      </c>
      <c r="AY69" s="172" t="str">
        <f>IF(Table2[[#This Row],[Counter Number]]="","",IF(Table2[[#This Row],[New Engine Fuel Type:]]="ULSD",Table1[[#This Row],[Annual Miles Traveled]]/Table1[[#This Row],[New Fuel (mpg) if Diesel]],""))</f>
        <v/>
      </c>
      <c r="AZ69" s="60"/>
      <c r="BA69" s="173" t="str">
        <f>IF(Table2[[#This Row],[Counter Number]]="","",Table2[[#This Row],[Annual Miles Traveled:]]*VLOOKUP(Table2[[#This Row],[Engine Model Year:]],EFTable[],3,FALSE))</f>
        <v/>
      </c>
      <c r="BB69" s="173" t="str">
        <f>IF(Table2[[#This Row],[Counter Number]]="","",Table2[[#This Row],[Annual Miles Traveled:]]*IF(Table2[[#This Row],[New Engine Fuel Type:]]="ULSD",VLOOKUP(Table2[[#This Row],[New Engine Model Year:]],EFTable[],3,FALSE),VLOOKUP(Table2[[#This Row],[New Engine Fuel Type:]],EFTable[],3,FALSE)))</f>
        <v/>
      </c>
      <c r="BC69" s="187" t="str">
        <f>IF(Table2[[#This Row],[Counter Number]]="","",Table2[[#This Row],[Old Bus NOx Emissions (tons/yr)]]-Table2[[#This Row],[New Bus NOx Emissions (tons/yr)]])</f>
        <v/>
      </c>
      <c r="BD69" s="188" t="str">
        <f>IF(Table2[[#This Row],[Counter Number]]="","",Table2[[#This Row],[Reduction Bus NOx Emissions (tons/yr)]]/Table2[[#This Row],[Old Bus NOx Emissions (tons/yr)]])</f>
        <v/>
      </c>
      <c r="BE69" s="175" t="str">
        <f>IF(Table2[[#This Row],[Counter Number]]="","",Table2[[#This Row],[Reduction Bus NOx Emissions (tons/yr)]]*Table2[[#This Row],[Remaining Life:]])</f>
        <v/>
      </c>
      <c r="BF69" s="189" t="str">
        <f>IF(Table2[[#This Row],[Counter Number]]="","",IF(Table2[[#This Row],[Lifetime NOx Reduction (tons)]]=0,"NA",Table2[[#This Row],[Upgrade Cost Per Unit]]/Table2[[#This Row],[Lifetime NOx Reduction (tons)]]))</f>
        <v/>
      </c>
      <c r="BG69" s="190" t="str">
        <f>IF(Table2[[#This Row],[Counter Number]]="","",Table2[[#This Row],[Annual Miles Traveled:]]*VLOOKUP(Table2[[#This Row],[Engine Model Year:]],EF!$A$2:$G$27,4,FALSE))</f>
        <v/>
      </c>
      <c r="BH69" s="173" t="str">
        <f>IF(Table2[[#This Row],[Counter Number]]="","",Table2[[#This Row],[Annual Miles Traveled:]]*IF(Table2[[#This Row],[New Engine Fuel Type:]]="ULSD",VLOOKUP(Table2[[#This Row],[New Engine Model Year:]],EFTable[],4,FALSE),VLOOKUP(Table2[[#This Row],[New Engine Fuel Type:]],EFTable[],4,FALSE)))</f>
        <v/>
      </c>
      <c r="BI69" s="191" t="str">
        <f>IF(Table2[[#This Row],[Counter Number]]="","",Table2[[#This Row],[Old Bus PM2.5 Emissions (tons/yr)]]-Table2[[#This Row],[New Bus PM2.5 Emissions (tons/yr)]])</f>
        <v/>
      </c>
      <c r="BJ69" s="192" t="str">
        <f>IF(Table2[[#This Row],[Counter Number]]="","",Table2[[#This Row],[Reduction Bus PM2.5 Emissions (tons/yr)]]/Table2[[#This Row],[Old Bus PM2.5 Emissions (tons/yr)]])</f>
        <v/>
      </c>
      <c r="BK69" s="193" t="str">
        <f>IF(Table2[[#This Row],[Counter Number]]="","",Table2[[#This Row],[Reduction Bus PM2.5 Emissions (tons/yr)]]*Table2[[#This Row],[Remaining Life:]])</f>
        <v/>
      </c>
      <c r="BL69" s="194" t="str">
        <f>IF(Table2[[#This Row],[Counter Number]]="","",IF(Table2[[#This Row],[Lifetime PM2.5 Reduction (tons)]]=0,"NA",Table2[[#This Row],[Upgrade Cost Per Unit]]/Table2[[#This Row],[Lifetime PM2.5 Reduction (tons)]]))</f>
        <v/>
      </c>
      <c r="BM69" s="179" t="str">
        <f>IF(Table2[[#This Row],[Counter Number]]="","",Table2[[#This Row],[Annual Miles Traveled:]]*VLOOKUP(Table2[[#This Row],[Engine Model Year:]],EF!$A$2:$G$40,5,FALSE))</f>
        <v/>
      </c>
      <c r="BN69" s="173" t="str">
        <f>IF(Table2[[#This Row],[Counter Number]]="","",Table2[[#This Row],[Annual Miles Traveled:]]*IF(Table2[[#This Row],[New Engine Fuel Type:]]="ULSD",VLOOKUP(Table2[[#This Row],[New Engine Model Year:]],EFTable[],5,FALSE),VLOOKUP(Table2[[#This Row],[New Engine Fuel Type:]],EFTable[],5,FALSE)))</f>
        <v/>
      </c>
      <c r="BO69" s="190" t="str">
        <f>IF(Table2[[#This Row],[Counter Number]]="","",Table2[[#This Row],[Old Bus HC Emissions (tons/yr)]]-Table2[[#This Row],[New Bus HC Emissions (tons/yr)]])</f>
        <v/>
      </c>
      <c r="BP69" s="188" t="str">
        <f>IF(Table2[[#This Row],[Counter Number]]="","",Table2[[#This Row],[Reduction Bus HC Emissions (tons/yr)]]/Table2[[#This Row],[Old Bus HC Emissions (tons/yr)]])</f>
        <v/>
      </c>
      <c r="BQ69" s="193" t="str">
        <f>IF(Table2[[#This Row],[Counter Number]]="","",Table2[[#This Row],[Reduction Bus HC Emissions (tons/yr)]]*Table2[[#This Row],[Remaining Life:]])</f>
        <v/>
      </c>
      <c r="BR69" s="194" t="str">
        <f>IF(Table2[[#This Row],[Counter Number]]="","",IF(Table2[[#This Row],[Lifetime HC Reduction (tons)]]=0,"NA",Table2[[#This Row],[Upgrade Cost Per Unit]]/Table2[[#This Row],[Lifetime HC Reduction (tons)]]))</f>
        <v/>
      </c>
      <c r="BS69" s="191" t="str">
        <f>IF(Table2[[#This Row],[Counter Number]]="","",Table2[[#This Row],[Annual Miles Traveled:]]*VLOOKUP(Table2[[#This Row],[Engine Model Year:]],EF!$A$2:$G$27,6,FALSE))</f>
        <v/>
      </c>
      <c r="BT69" s="173" t="str">
        <f>IF(Table2[[#This Row],[Counter Number]]="","",Table2[[#This Row],[Annual Miles Traveled:]]*IF(Table2[[#This Row],[New Engine Fuel Type:]]="ULSD",VLOOKUP(Table2[[#This Row],[New Engine Model Year:]],EFTable[],6,FALSE),VLOOKUP(Table2[[#This Row],[New Engine Fuel Type:]],EFTable[],6,FALSE)))</f>
        <v/>
      </c>
      <c r="BU69" s="190" t="str">
        <f>IF(Table2[[#This Row],[Counter Number]]="","",Table2[[#This Row],[Old Bus CO Emissions (tons/yr)]]-Table2[[#This Row],[New Bus CO Emissions (tons/yr)]])</f>
        <v/>
      </c>
      <c r="BV69" s="188" t="str">
        <f>IF(Table2[[#This Row],[Counter Number]]="","",Table2[[#This Row],[Reduction Bus CO Emissions (tons/yr)]]/Table2[[#This Row],[Old Bus CO Emissions (tons/yr)]])</f>
        <v/>
      </c>
      <c r="BW69" s="193" t="str">
        <f>IF(Table2[[#This Row],[Counter Number]]="","",Table2[[#This Row],[Reduction Bus CO Emissions (tons/yr)]]*Table2[[#This Row],[Remaining Life:]])</f>
        <v/>
      </c>
      <c r="BX69" s="194" t="str">
        <f>IF(Table2[[#This Row],[Counter Number]]="","",IF(Table2[[#This Row],[Lifetime CO Reduction (tons)]]=0,"NA",Table2[[#This Row],[Upgrade Cost Per Unit]]/Table2[[#This Row],[Lifetime CO Reduction (tons)]]))</f>
        <v/>
      </c>
      <c r="BY69" s="180" t="str">
        <f>IF(Table2[[#This Row],[Counter Number]]="","",Table2[[#This Row],[Old ULSD Used (gal):]]*VLOOKUP(Table2[[#This Row],[Engine Model Year:]],EF!$A$2:$G$27,7,FALSE))</f>
        <v/>
      </c>
      <c r="BZ6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9" s="195" t="str">
        <f>IF(Table2[[#This Row],[Counter Number]]="","",Table2[[#This Row],[Old Bus CO2 Emissions (tons/yr)]]-Table2[[#This Row],[New Bus CO2 Emissions (tons/yr)]])</f>
        <v/>
      </c>
      <c r="CB69" s="188" t="str">
        <f>IF(Table2[[#This Row],[Counter Number]]="","",Table2[[#This Row],[Reduction Bus CO2 Emissions (tons/yr)]]/Table2[[#This Row],[Old Bus CO2 Emissions (tons/yr)]])</f>
        <v/>
      </c>
      <c r="CC69" s="195" t="str">
        <f>IF(Table2[[#This Row],[Counter Number]]="","",Table2[[#This Row],[Reduction Bus CO2 Emissions (tons/yr)]]*Table2[[#This Row],[Remaining Life:]])</f>
        <v/>
      </c>
      <c r="CD69" s="194" t="str">
        <f>IF(Table2[[#This Row],[Counter Number]]="","",IF(Table2[[#This Row],[Lifetime CO2 Reduction (tons)]]=0,"NA",Table2[[#This Row],[Upgrade Cost Per Unit]]/Table2[[#This Row],[Lifetime CO2 Reduction (tons)]]))</f>
        <v/>
      </c>
      <c r="CE69" s="182" t="str">
        <f>IF(Table2[[#This Row],[Counter Number]]="","",IF(Table2[[#This Row],[New ULSD Used (gal):]]="",Table2[[#This Row],[Old ULSD Used (gal):]],Table2[[#This Row],[Old ULSD Used (gal):]]-Table2[[#This Row],[New ULSD Used (gal):]]))</f>
        <v/>
      </c>
      <c r="CF69" s="196" t="str">
        <f>IF(Table2[[#This Row],[Counter Number]]="","",Table2[[#This Row],[Diesel Fuel Reduction (gal/yr)]]/Table2[[#This Row],[Old ULSD Used (gal):]])</f>
        <v/>
      </c>
      <c r="CG69" s="197" t="str">
        <f>IF(Table2[[#This Row],[Counter Number]]="","",Table2[[#This Row],[Diesel Fuel Reduction (gal/yr)]]*Table2[[#This Row],[Remaining Life:]])</f>
        <v/>
      </c>
    </row>
    <row r="70" spans="1:85">
      <c r="A70" s="184" t="str">
        <f>IF(A69&lt;Application!$D$24,A69+1,"")</f>
        <v/>
      </c>
      <c r="B70" s="60" t="str">
        <f>IF(Table2[[#This Row],[Counter Number]]="","",Application!$D$16)</f>
        <v/>
      </c>
      <c r="C70" s="60" t="str">
        <f>IF(Table2[[#This Row],[Counter Number]]="","",Application!$D$14)</f>
        <v/>
      </c>
      <c r="D70" s="60" t="str">
        <f>IF(Table2[[#This Row],[Counter Number]]="","",Table1[[#This Row],[Old Bus Number]])</f>
        <v/>
      </c>
      <c r="E70" s="60" t="str">
        <f>IF(Table2[[#This Row],[Counter Number]]="","",Application!$D$15)</f>
        <v/>
      </c>
      <c r="F70" s="60" t="str">
        <f>IF(Table2[[#This Row],[Counter Number]]="","","On Highway")</f>
        <v/>
      </c>
      <c r="G70" s="60" t="str">
        <f>IF(Table2[[#This Row],[Counter Number]]="","",I70)</f>
        <v/>
      </c>
      <c r="H70" s="60" t="str">
        <f>IF(Table2[[#This Row],[Counter Number]]="","","Georgia")</f>
        <v/>
      </c>
      <c r="I70" s="60" t="str">
        <f>IF(Table2[[#This Row],[Counter Number]]="","",Application!$D$16)</f>
        <v/>
      </c>
      <c r="J70" s="60" t="str">
        <f>IF(Table2[[#This Row],[Counter Number]]="","",Application!$D$21)</f>
        <v/>
      </c>
      <c r="K70" s="60" t="str">
        <f>IF(Table2[[#This Row],[Counter Number]]="","",Application!$J$21)</f>
        <v/>
      </c>
      <c r="L70" s="60" t="str">
        <f>IF(Table2[[#This Row],[Counter Number]]="","","School Bus")</f>
        <v/>
      </c>
      <c r="M70" s="60" t="str">
        <f>IF(Table2[[#This Row],[Counter Number]]="","","School Bus")</f>
        <v/>
      </c>
      <c r="N70" s="60" t="str">
        <f>IF(Table2[[#This Row],[Counter Number]]="","",1)</f>
        <v/>
      </c>
      <c r="O70" s="60" t="str">
        <f>IF(Table2[[#This Row],[Counter Number]]="","",Table1[[#This Row],[Vehicle Identification Number(s):]])</f>
        <v/>
      </c>
      <c r="P70" s="60" t="str">
        <f>IF(Table2[[#This Row],[Counter Number]]="","",Table1[[#This Row],[Old Bus Manufacturer:]])</f>
        <v/>
      </c>
      <c r="Q70" s="60" t="str">
        <f>IF(Table2[[#This Row],[Counter Number]]="","",Table1[[#This Row],[Vehicle Model:]])</f>
        <v/>
      </c>
      <c r="R70" s="165" t="str">
        <f>IF(Table2[[#This Row],[Counter Number]]="","",Table1[[#This Row],[Vehicle Model Year:]])</f>
        <v/>
      </c>
      <c r="S70" s="60" t="str">
        <f>IF(Table2[[#This Row],[Counter Number]]="","",Table1[[#This Row],[Engine Serial Number(s):]])</f>
        <v/>
      </c>
      <c r="T70" s="60" t="str">
        <f>IF(Table2[[#This Row],[Counter Number]]="","",Table1[[#This Row],[Engine Make:]])</f>
        <v/>
      </c>
      <c r="U70" s="60" t="str">
        <f>IF(Table2[[#This Row],[Counter Number]]="","",Table1[[#This Row],[Engine Model:]])</f>
        <v/>
      </c>
      <c r="V70" s="165" t="str">
        <f>IF(Table2[[#This Row],[Counter Number]]="","",Table1[[#This Row],[Engine Model Year:]])</f>
        <v/>
      </c>
      <c r="W70" s="60" t="str">
        <f>IF(Table2[[#This Row],[Counter Number]]="","","NA")</f>
        <v/>
      </c>
      <c r="X70" s="165" t="str">
        <f>IF(Table2[[#This Row],[Counter Number]]="","",Table1[[#This Row],[Engine Horsepower (HP):]])</f>
        <v/>
      </c>
      <c r="Y70" s="165" t="str">
        <f>IF(Table2[[#This Row],[Counter Number]]="","",Table1[[#This Row],[Engine Cylinder Displacement (L):]]&amp;" L")</f>
        <v/>
      </c>
      <c r="Z70" s="165" t="str">
        <f>IF(Table2[[#This Row],[Counter Number]]="","",Table1[[#This Row],[Engine Number of Cylinders:]])</f>
        <v/>
      </c>
      <c r="AA70" s="166" t="str">
        <f>IF(Table2[[#This Row],[Counter Number]]="","",Table1[[#This Row],[Engine Family Name:]])</f>
        <v/>
      </c>
      <c r="AB70" s="60" t="str">
        <f>IF(Table2[[#This Row],[Counter Number]]="","","ULSD")</f>
        <v/>
      </c>
      <c r="AC70" s="167" t="str">
        <f>IF(Table2[[#This Row],[Counter Number]]="","",Table2[[#This Row],[Annual Miles Traveled:]]/Table1[[#This Row],[Old Fuel (mpg)]])</f>
        <v/>
      </c>
      <c r="AD70" s="60" t="str">
        <f>IF(Table2[[#This Row],[Counter Number]]="","","NA")</f>
        <v/>
      </c>
      <c r="AE70" s="168" t="str">
        <f>IF(Table2[[#This Row],[Counter Number]]="","",Table1[[#This Row],[Annual Miles Traveled]])</f>
        <v/>
      </c>
      <c r="AF70" s="169" t="str">
        <f>IF(Table2[[#This Row],[Counter Number]]="","",Table1[[#This Row],[Annual Idling Hours:]])</f>
        <v/>
      </c>
      <c r="AG70" s="60" t="str">
        <f>IF(Table2[[#This Row],[Counter Number]]="","","NA")</f>
        <v/>
      </c>
      <c r="AH70" s="165" t="str">
        <f>IF(Table2[[#This Row],[Counter Number]]="","",IF(Application!$J$25="Set Policy",Table1[[#This Row],[Remaining Life (years)         Set Policy]],Table1[[#This Row],[Remaining Life (years)               Case-by-Case]]))</f>
        <v/>
      </c>
      <c r="AI70" s="165" t="str">
        <f>IF(Table2[[#This Row],[Counter Number]]="","",IF(Application!$J$25="Case-by-Case","NA",Table2[[#This Row],[Fiscal Year of EPA Funds Used:]]+Table2[[#This Row],[Remaining Life:]]))</f>
        <v/>
      </c>
      <c r="AJ70" s="165"/>
      <c r="AK70" s="170" t="str">
        <f>IF(Table2[[#This Row],[Counter Number]]="","",Application!$D$14+1)</f>
        <v/>
      </c>
      <c r="AL70" s="60" t="str">
        <f>IF(Table2[[#This Row],[Counter Number]]="","","Vehicle Replacement")</f>
        <v/>
      </c>
      <c r="AM7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0" s="171" t="str">
        <f>IF(Table2[[#This Row],[Counter Number]]="","",Table1[[#This Row],[Cost of New Bus:]])</f>
        <v/>
      </c>
      <c r="AO70" s="60" t="str">
        <f>IF(Table2[[#This Row],[Counter Number]]="","","NA")</f>
        <v/>
      </c>
      <c r="AP70" s="165" t="str">
        <f>IF(Table2[[#This Row],[Counter Number]]="","",Table1[[#This Row],[New Engine Model Year:]])</f>
        <v/>
      </c>
      <c r="AQ70" s="60" t="str">
        <f>IF(Table2[[#This Row],[Counter Number]]="","","NA")</f>
        <v/>
      </c>
      <c r="AR70" s="165" t="str">
        <f>IF(Table2[[#This Row],[Counter Number]]="","",Table1[[#This Row],[New Engine Horsepower (HP):]])</f>
        <v/>
      </c>
      <c r="AS70" s="60" t="str">
        <f>IF(Table2[[#This Row],[Counter Number]]="","","NA")</f>
        <v/>
      </c>
      <c r="AT70" s="165" t="str">
        <f>IF(Table2[[#This Row],[Counter Number]]="","",Table1[[#This Row],[New Engine Cylinder Displacement (L):]]&amp;" L")</f>
        <v/>
      </c>
      <c r="AU70" s="114" t="str">
        <f>IF(Table2[[#This Row],[Counter Number]]="","",Table1[[#This Row],[New Engine Number of Cylinders:]])</f>
        <v/>
      </c>
      <c r="AV70" s="60" t="str">
        <f>IF(Table2[[#This Row],[Counter Number]]="","",Table1[[#This Row],[New Engine Family Name:]])</f>
        <v/>
      </c>
      <c r="AW7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0" s="60" t="str">
        <f>IF(Table2[[#This Row],[Counter Number]]="","","NA")</f>
        <v/>
      </c>
      <c r="AY70" s="172" t="str">
        <f>IF(Table2[[#This Row],[Counter Number]]="","",IF(Table2[[#This Row],[New Engine Fuel Type:]]="ULSD",Table1[[#This Row],[Annual Miles Traveled]]/Table1[[#This Row],[New Fuel (mpg) if Diesel]],""))</f>
        <v/>
      </c>
      <c r="AZ70" s="60"/>
      <c r="BA70" s="173" t="str">
        <f>IF(Table2[[#This Row],[Counter Number]]="","",Table2[[#This Row],[Annual Miles Traveled:]]*VLOOKUP(Table2[[#This Row],[Engine Model Year:]],EFTable[],3,FALSE))</f>
        <v/>
      </c>
      <c r="BB70" s="173" t="str">
        <f>IF(Table2[[#This Row],[Counter Number]]="","",Table2[[#This Row],[Annual Miles Traveled:]]*IF(Table2[[#This Row],[New Engine Fuel Type:]]="ULSD",VLOOKUP(Table2[[#This Row],[New Engine Model Year:]],EFTable[],3,FALSE),VLOOKUP(Table2[[#This Row],[New Engine Fuel Type:]],EFTable[],3,FALSE)))</f>
        <v/>
      </c>
      <c r="BC70" s="187" t="str">
        <f>IF(Table2[[#This Row],[Counter Number]]="","",Table2[[#This Row],[Old Bus NOx Emissions (tons/yr)]]-Table2[[#This Row],[New Bus NOx Emissions (tons/yr)]])</f>
        <v/>
      </c>
      <c r="BD70" s="188" t="str">
        <f>IF(Table2[[#This Row],[Counter Number]]="","",Table2[[#This Row],[Reduction Bus NOx Emissions (tons/yr)]]/Table2[[#This Row],[Old Bus NOx Emissions (tons/yr)]])</f>
        <v/>
      </c>
      <c r="BE70" s="175" t="str">
        <f>IF(Table2[[#This Row],[Counter Number]]="","",Table2[[#This Row],[Reduction Bus NOx Emissions (tons/yr)]]*Table2[[#This Row],[Remaining Life:]])</f>
        <v/>
      </c>
      <c r="BF70" s="189" t="str">
        <f>IF(Table2[[#This Row],[Counter Number]]="","",IF(Table2[[#This Row],[Lifetime NOx Reduction (tons)]]=0,"NA",Table2[[#This Row],[Upgrade Cost Per Unit]]/Table2[[#This Row],[Lifetime NOx Reduction (tons)]]))</f>
        <v/>
      </c>
      <c r="BG70" s="190" t="str">
        <f>IF(Table2[[#This Row],[Counter Number]]="","",Table2[[#This Row],[Annual Miles Traveled:]]*VLOOKUP(Table2[[#This Row],[Engine Model Year:]],EF!$A$2:$G$27,4,FALSE))</f>
        <v/>
      </c>
      <c r="BH70" s="173" t="str">
        <f>IF(Table2[[#This Row],[Counter Number]]="","",Table2[[#This Row],[Annual Miles Traveled:]]*IF(Table2[[#This Row],[New Engine Fuel Type:]]="ULSD",VLOOKUP(Table2[[#This Row],[New Engine Model Year:]],EFTable[],4,FALSE),VLOOKUP(Table2[[#This Row],[New Engine Fuel Type:]],EFTable[],4,FALSE)))</f>
        <v/>
      </c>
      <c r="BI70" s="191" t="str">
        <f>IF(Table2[[#This Row],[Counter Number]]="","",Table2[[#This Row],[Old Bus PM2.5 Emissions (tons/yr)]]-Table2[[#This Row],[New Bus PM2.5 Emissions (tons/yr)]])</f>
        <v/>
      </c>
      <c r="BJ70" s="192" t="str">
        <f>IF(Table2[[#This Row],[Counter Number]]="","",Table2[[#This Row],[Reduction Bus PM2.5 Emissions (tons/yr)]]/Table2[[#This Row],[Old Bus PM2.5 Emissions (tons/yr)]])</f>
        <v/>
      </c>
      <c r="BK70" s="193" t="str">
        <f>IF(Table2[[#This Row],[Counter Number]]="","",Table2[[#This Row],[Reduction Bus PM2.5 Emissions (tons/yr)]]*Table2[[#This Row],[Remaining Life:]])</f>
        <v/>
      </c>
      <c r="BL70" s="194" t="str">
        <f>IF(Table2[[#This Row],[Counter Number]]="","",IF(Table2[[#This Row],[Lifetime PM2.5 Reduction (tons)]]=0,"NA",Table2[[#This Row],[Upgrade Cost Per Unit]]/Table2[[#This Row],[Lifetime PM2.5 Reduction (tons)]]))</f>
        <v/>
      </c>
      <c r="BM70" s="179" t="str">
        <f>IF(Table2[[#This Row],[Counter Number]]="","",Table2[[#This Row],[Annual Miles Traveled:]]*VLOOKUP(Table2[[#This Row],[Engine Model Year:]],EF!$A$2:$G$40,5,FALSE))</f>
        <v/>
      </c>
      <c r="BN70" s="173" t="str">
        <f>IF(Table2[[#This Row],[Counter Number]]="","",Table2[[#This Row],[Annual Miles Traveled:]]*IF(Table2[[#This Row],[New Engine Fuel Type:]]="ULSD",VLOOKUP(Table2[[#This Row],[New Engine Model Year:]],EFTable[],5,FALSE),VLOOKUP(Table2[[#This Row],[New Engine Fuel Type:]],EFTable[],5,FALSE)))</f>
        <v/>
      </c>
      <c r="BO70" s="190" t="str">
        <f>IF(Table2[[#This Row],[Counter Number]]="","",Table2[[#This Row],[Old Bus HC Emissions (tons/yr)]]-Table2[[#This Row],[New Bus HC Emissions (tons/yr)]])</f>
        <v/>
      </c>
      <c r="BP70" s="188" t="str">
        <f>IF(Table2[[#This Row],[Counter Number]]="","",Table2[[#This Row],[Reduction Bus HC Emissions (tons/yr)]]/Table2[[#This Row],[Old Bus HC Emissions (tons/yr)]])</f>
        <v/>
      </c>
      <c r="BQ70" s="193" t="str">
        <f>IF(Table2[[#This Row],[Counter Number]]="","",Table2[[#This Row],[Reduction Bus HC Emissions (tons/yr)]]*Table2[[#This Row],[Remaining Life:]])</f>
        <v/>
      </c>
      <c r="BR70" s="194" t="str">
        <f>IF(Table2[[#This Row],[Counter Number]]="","",IF(Table2[[#This Row],[Lifetime HC Reduction (tons)]]=0,"NA",Table2[[#This Row],[Upgrade Cost Per Unit]]/Table2[[#This Row],[Lifetime HC Reduction (tons)]]))</f>
        <v/>
      </c>
      <c r="BS70" s="191" t="str">
        <f>IF(Table2[[#This Row],[Counter Number]]="","",Table2[[#This Row],[Annual Miles Traveled:]]*VLOOKUP(Table2[[#This Row],[Engine Model Year:]],EF!$A$2:$G$27,6,FALSE))</f>
        <v/>
      </c>
      <c r="BT70" s="173" t="str">
        <f>IF(Table2[[#This Row],[Counter Number]]="","",Table2[[#This Row],[Annual Miles Traveled:]]*IF(Table2[[#This Row],[New Engine Fuel Type:]]="ULSD",VLOOKUP(Table2[[#This Row],[New Engine Model Year:]],EFTable[],6,FALSE),VLOOKUP(Table2[[#This Row],[New Engine Fuel Type:]],EFTable[],6,FALSE)))</f>
        <v/>
      </c>
      <c r="BU70" s="190" t="str">
        <f>IF(Table2[[#This Row],[Counter Number]]="","",Table2[[#This Row],[Old Bus CO Emissions (tons/yr)]]-Table2[[#This Row],[New Bus CO Emissions (tons/yr)]])</f>
        <v/>
      </c>
      <c r="BV70" s="188" t="str">
        <f>IF(Table2[[#This Row],[Counter Number]]="","",Table2[[#This Row],[Reduction Bus CO Emissions (tons/yr)]]/Table2[[#This Row],[Old Bus CO Emissions (tons/yr)]])</f>
        <v/>
      </c>
      <c r="BW70" s="193" t="str">
        <f>IF(Table2[[#This Row],[Counter Number]]="","",Table2[[#This Row],[Reduction Bus CO Emissions (tons/yr)]]*Table2[[#This Row],[Remaining Life:]])</f>
        <v/>
      </c>
      <c r="BX70" s="194" t="str">
        <f>IF(Table2[[#This Row],[Counter Number]]="","",IF(Table2[[#This Row],[Lifetime CO Reduction (tons)]]=0,"NA",Table2[[#This Row],[Upgrade Cost Per Unit]]/Table2[[#This Row],[Lifetime CO Reduction (tons)]]))</f>
        <v/>
      </c>
      <c r="BY70" s="180" t="str">
        <f>IF(Table2[[#This Row],[Counter Number]]="","",Table2[[#This Row],[Old ULSD Used (gal):]]*VLOOKUP(Table2[[#This Row],[Engine Model Year:]],EF!$A$2:$G$27,7,FALSE))</f>
        <v/>
      </c>
      <c r="BZ7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0" s="195" t="str">
        <f>IF(Table2[[#This Row],[Counter Number]]="","",Table2[[#This Row],[Old Bus CO2 Emissions (tons/yr)]]-Table2[[#This Row],[New Bus CO2 Emissions (tons/yr)]])</f>
        <v/>
      </c>
      <c r="CB70" s="188" t="str">
        <f>IF(Table2[[#This Row],[Counter Number]]="","",Table2[[#This Row],[Reduction Bus CO2 Emissions (tons/yr)]]/Table2[[#This Row],[Old Bus CO2 Emissions (tons/yr)]])</f>
        <v/>
      </c>
      <c r="CC70" s="195" t="str">
        <f>IF(Table2[[#This Row],[Counter Number]]="","",Table2[[#This Row],[Reduction Bus CO2 Emissions (tons/yr)]]*Table2[[#This Row],[Remaining Life:]])</f>
        <v/>
      </c>
      <c r="CD70" s="194" t="str">
        <f>IF(Table2[[#This Row],[Counter Number]]="","",IF(Table2[[#This Row],[Lifetime CO2 Reduction (tons)]]=0,"NA",Table2[[#This Row],[Upgrade Cost Per Unit]]/Table2[[#This Row],[Lifetime CO2 Reduction (tons)]]))</f>
        <v/>
      </c>
      <c r="CE70" s="182" t="str">
        <f>IF(Table2[[#This Row],[Counter Number]]="","",IF(Table2[[#This Row],[New ULSD Used (gal):]]="",Table2[[#This Row],[Old ULSD Used (gal):]],Table2[[#This Row],[Old ULSD Used (gal):]]-Table2[[#This Row],[New ULSD Used (gal):]]))</f>
        <v/>
      </c>
      <c r="CF70" s="196" t="str">
        <f>IF(Table2[[#This Row],[Counter Number]]="","",Table2[[#This Row],[Diesel Fuel Reduction (gal/yr)]]/Table2[[#This Row],[Old ULSD Used (gal):]])</f>
        <v/>
      </c>
      <c r="CG70" s="197" t="str">
        <f>IF(Table2[[#This Row],[Counter Number]]="","",Table2[[#This Row],[Diesel Fuel Reduction (gal/yr)]]*Table2[[#This Row],[Remaining Life:]])</f>
        <v/>
      </c>
    </row>
    <row r="71" spans="1:85">
      <c r="A71" s="184" t="str">
        <f>IF(A70&lt;Application!$D$24,A70+1,"")</f>
        <v/>
      </c>
      <c r="B71" s="60" t="str">
        <f>IF(Table2[[#This Row],[Counter Number]]="","",Application!$D$16)</f>
        <v/>
      </c>
      <c r="C71" s="60" t="str">
        <f>IF(Table2[[#This Row],[Counter Number]]="","",Application!$D$14)</f>
        <v/>
      </c>
      <c r="D71" s="60" t="str">
        <f>IF(Table2[[#This Row],[Counter Number]]="","",Table1[[#This Row],[Old Bus Number]])</f>
        <v/>
      </c>
      <c r="E71" s="60" t="str">
        <f>IF(Table2[[#This Row],[Counter Number]]="","",Application!$D$15)</f>
        <v/>
      </c>
      <c r="F71" s="60" t="str">
        <f>IF(Table2[[#This Row],[Counter Number]]="","","On Highway")</f>
        <v/>
      </c>
      <c r="G71" s="60" t="str">
        <f>IF(Table2[[#This Row],[Counter Number]]="","",I71)</f>
        <v/>
      </c>
      <c r="H71" s="60" t="str">
        <f>IF(Table2[[#This Row],[Counter Number]]="","","Georgia")</f>
        <v/>
      </c>
      <c r="I71" s="60" t="str">
        <f>IF(Table2[[#This Row],[Counter Number]]="","",Application!$D$16)</f>
        <v/>
      </c>
      <c r="J71" s="60" t="str">
        <f>IF(Table2[[#This Row],[Counter Number]]="","",Application!$D$21)</f>
        <v/>
      </c>
      <c r="K71" s="60" t="str">
        <f>IF(Table2[[#This Row],[Counter Number]]="","",Application!$J$21)</f>
        <v/>
      </c>
      <c r="L71" s="60" t="str">
        <f>IF(Table2[[#This Row],[Counter Number]]="","","School Bus")</f>
        <v/>
      </c>
      <c r="M71" s="60" t="str">
        <f>IF(Table2[[#This Row],[Counter Number]]="","","School Bus")</f>
        <v/>
      </c>
      <c r="N71" s="60" t="str">
        <f>IF(Table2[[#This Row],[Counter Number]]="","",1)</f>
        <v/>
      </c>
      <c r="O71" s="60" t="str">
        <f>IF(Table2[[#This Row],[Counter Number]]="","",Table1[[#This Row],[Vehicle Identification Number(s):]])</f>
        <v/>
      </c>
      <c r="P71" s="60" t="str">
        <f>IF(Table2[[#This Row],[Counter Number]]="","",Table1[[#This Row],[Old Bus Manufacturer:]])</f>
        <v/>
      </c>
      <c r="Q71" s="60" t="str">
        <f>IF(Table2[[#This Row],[Counter Number]]="","",Table1[[#This Row],[Vehicle Model:]])</f>
        <v/>
      </c>
      <c r="R71" s="165" t="str">
        <f>IF(Table2[[#This Row],[Counter Number]]="","",Table1[[#This Row],[Vehicle Model Year:]])</f>
        <v/>
      </c>
      <c r="S71" s="60" t="str">
        <f>IF(Table2[[#This Row],[Counter Number]]="","",Table1[[#This Row],[Engine Serial Number(s):]])</f>
        <v/>
      </c>
      <c r="T71" s="60" t="str">
        <f>IF(Table2[[#This Row],[Counter Number]]="","",Table1[[#This Row],[Engine Make:]])</f>
        <v/>
      </c>
      <c r="U71" s="60" t="str">
        <f>IF(Table2[[#This Row],[Counter Number]]="","",Table1[[#This Row],[Engine Model:]])</f>
        <v/>
      </c>
      <c r="V71" s="165" t="str">
        <f>IF(Table2[[#This Row],[Counter Number]]="","",Table1[[#This Row],[Engine Model Year:]])</f>
        <v/>
      </c>
      <c r="W71" s="60" t="str">
        <f>IF(Table2[[#This Row],[Counter Number]]="","","NA")</f>
        <v/>
      </c>
      <c r="X71" s="165" t="str">
        <f>IF(Table2[[#This Row],[Counter Number]]="","",Table1[[#This Row],[Engine Horsepower (HP):]])</f>
        <v/>
      </c>
      <c r="Y71" s="165" t="str">
        <f>IF(Table2[[#This Row],[Counter Number]]="","",Table1[[#This Row],[Engine Cylinder Displacement (L):]]&amp;" L")</f>
        <v/>
      </c>
      <c r="Z71" s="165" t="str">
        <f>IF(Table2[[#This Row],[Counter Number]]="","",Table1[[#This Row],[Engine Number of Cylinders:]])</f>
        <v/>
      </c>
      <c r="AA71" s="166" t="str">
        <f>IF(Table2[[#This Row],[Counter Number]]="","",Table1[[#This Row],[Engine Family Name:]])</f>
        <v/>
      </c>
      <c r="AB71" s="60" t="str">
        <f>IF(Table2[[#This Row],[Counter Number]]="","","ULSD")</f>
        <v/>
      </c>
      <c r="AC71" s="167" t="str">
        <f>IF(Table2[[#This Row],[Counter Number]]="","",Table2[[#This Row],[Annual Miles Traveled:]]/Table1[[#This Row],[Old Fuel (mpg)]])</f>
        <v/>
      </c>
      <c r="AD71" s="60" t="str">
        <f>IF(Table2[[#This Row],[Counter Number]]="","","NA")</f>
        <v/>
      </c>
      <c r="AE71" s="168" t="str">
        <f>IF(Table2[[#This Row],[Counter Number]]="","",Table1[[#This Row],[Annual Miles Traveled]])</f>
        <v/>
      </c>
      <c r="AF71" s="169" t="str">
        <f>IF(Table2[[#This Row],[Counter Number]]="","",Table1[[#This Row],[Annual Idling Hours:]])</f>
        <v/>
      </c>
      <c r="AG71" s="60" t="str">
        <f>IF(Table2[[#This Row],[Counter Number]]="","","NA")</f>
        <v/>
      </c>
      <c r="AH71" s="165" t="str">
        <f>IF(Table2[[#This Row],[Counter Number]]="","",IF(Application!$J$25="Set Policy",Table1[[#This Row],[Remaining Life (years)         Set Policy]],Table1[[#This Row],[Remaining Life (years)               Case-by-Case]]))</f>
        <v/>
      </c>
      <c r="AI71" s="165" t="str">
        <f>IF(Table2[[#This Row],[Counter Number]]="","",IF(Application!$J$25="Case-by-Case","NA",Table2[[#This Row],[Fiscal Year of EPA Funds Used:]]+Table2[[#This Row],[Remaining Life:]]))</f>
        <v/>
      </c>
      <c r="AJ71" s="165"/>
      <c r="AK71" s="170" t="str">
        <f>IF(Table2[[#This Row],[Counter Number]]="","",Application!$D$14+1)</f>
        <v/>
      </c>
      <c r="AL71" s="60" t="str">
        <f>IF(Table2[[#This Row],[Counter Number]]="","","Vehicle Replacement")</f>
        <v/>
      </c>
      <c r="AM7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1" s="171" t="str">
        <f>IF(Table2[[#This Row],[Counter Number]]="","",Table1[[#This Row],[Cost of New Bus:]])</f>
        <v/>
      </c>
      <c r="AO71" s="60" t="str">
        <f>IF(Table2[[#This Row],[Counter Number]]="","","NA")</f>
        <v/>
      </c>
      <c r="AP71" s="165" t="str">
        <f>IF(Table2[[#This Row],[Counter Number]]="","",Table1[[#This Row],[New Engine Model Year:]])</f>
        <v/>
      </c>
      <c r="AQ71" s="60" t="str">
        <f>IF(Table2[[#This Row],[Counter Number]]="","","NA")</f>
        <v/>
      </c>
      <c r="AR71" s="165" t="str">
        <f>IF(Table2[[#This Row],[Counter Number]]="","",Table1[[#This Row],[New Engine Horsepower (HP):]])</f>
        <v/>
      </c>
      <c r="AS71" s="60" t="str">
        <f>IF(Table2[[#This Row],[Counter Number]]="","","NA")</f>
        <v/>
      </c>
      <c r="AT71" s="165" t="str">
        <f>IF(Table2[[#This Row],[Counter Number]]="","",Table1[[#This Row],[New Engine Cylinder Displacement (L):]]&amp;" L")</f>
        <v/>
      </c>
      <c r="AU71" s="114" t="str">
        <f>IF(Table2[[#This Row],[Counter Number]]="","",Table1[[#This Row],[New Engine Number of Cylinders:]])</f>
        <v/>
      </c>
      <c r="AV71" s="60" t="str">
        <f>IF(Table2[[#This Row],[Counter Number]]="","",Table1[[#This Row],[New Engine Family Name:]])</f>
        <v/>
      </c>
      <c r="AW7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1" s="60" t="str">
        <f>IF(Table2[[#This Row],[Counter Number]]="","","NA")</f>
        <v/>
      </c>
      <c r="AY71" s="172" t="str">
        <f>IF(Table2[[#This Row],[Counter Number]]="","",IF(Table2[[#This Row],[New Engine Fuel Type:]]="ULSD",Table1[[#This Row],[Annual Miles Traveled]]/Table1[[#This Row],[New Fuel (mpg) if Diesel]],""))</f>
        <v/>
      </c>
      <c r="AZ71" s="60"/>
      <c r="BA71" s="173" t="str">
        <f>IF(Table2[[#This Row],[Counter Number]]="","",Table2[[#This Row],[Annual Miles Traveled:]]*VLOOKUP(Table2[[#This Row],[Engine Model Year:]],EFTable[],3,FALSE))</f>
        <v/>
      </c>
      <c r="BB71" s="173" t="str">
        <f>IF(Table2[[#This Row],[Counter Number]]="","",Table2[[#This Row],[Annual Miles Traveled:]]*IF(Table2[[#This Row],[New Engine Fuel Type:]]="ULSD",VLOOKUP(Table2[[#This Row],[New Engine Model Year:]],EFTable[],3,FALSE),VLOOKUP(Table2[[#This Row],[New Engine Fuel Type:]],EFTable[],3,FALSE)))</f>
        <v/>
      </c>
      <c r="BC71" s="187" t="str">
        <f>IF(Table2[[#This Row],[Counter Number]]="","",Table2[[#This Row],[Old Bus NOx Emissions (tons/yr)]]-Table2[[#This Row],[New Bus NOx Emissions (tons/yr)]])</f>
        <v/>
      </c>
      <c r="BD71" s="188" t="str">
        <f>IF(Table2[[#This Row],[Counter Number]]="","",Table2[[#This Row],[Reduction Bus NOx Emissions (tons/yr)]]/Table2[[#This Row],[Old Bus NOx Emissions (tons/yr)]])</f>
        <v/>
      </c>
      <c r="BE71" s="175" t="str">
        <f>IF(Table2[[#This Row],[Counter Number]]="","",Table2[[#This Row],[Reduction Bus NOx Emissions (tons/yr)]]*Table2[[#This Row],[Remaining Life:]])</f>
        <v/>
      </c>
      <c r="BF71" s="189" t="str">
        <f>IF(Table2[[#This Row],[Counter Number]]="","",IF(Table2[[#This Row],[Lifetime NOx Reduction (tons)]]=0,"NA",Table2[[#This Row],[Upgrade Cost Per Unit]]/Table2[[#This Row],[Lifetime NOx Reduction (tons)]]))</f>
        <v/>
      </c>
      <c r="BG71" s="190" t="str">
        <f>IF(Table2[[#This Row],[Counter Number]]="","",Table2[[#This Row],[Annual Miles Traveled:]]*VLOOKUP(Table2[[#This Row],[Engine Model Year:]],EF!$A$2:$G$27,4,FALSE))</f>
        <v/>
      </c>
      <c r="BH71" s="173" t="str">
        <f>IF(Table2[[#This Row],[Counter Number]]="","",Table2[[#This Row],[Annual Miles Traveled:]]*IF(Table2[[#This Row],[New Engine Fuel Type:]]="ULSD",VLOOKUP(Table2[[#This Row],[New Engine Model Year:]],EFTable[],4,FALSE),VLOOKUP(Table2[[#This Row],[New Engine Fuel Type:]],EFTable[],4,FALSE)))</f>
        <v/>
      </c>
      <c r="BI71" s="191" t="str">
        <f>IF(Table2[[#This Row],[Counter Number]]="","",Table2[[#This Row],[Old Bus PM2.5 Emissions (tons/yr)]]-Table2[[#This Row],[New Bus PM2.5 Emissions (tons/yr)]])</f>
        <v/>
      </c>
      <c r="BJ71" s="192" t="str">
        <f>IF(Table2[[#This Row],[Counter Number]]="","",Table2[[#This Row],[Reduction Bus PM2.5 Emissions (tons/yr)]]/Table2[[#This Row],[Old Bus PM2.5 Emissions (tons/yr)]])</f>
        <v/>
      </c>
      <c r="BK71" s="193" t="str">
        <f>IF(Table2[[#This Row],[Counter Number]]="","",Table2[[#This Row],[Reduction Bus PM2.5 Emissions (tons/yr)]]*Table2[[#This Row],[Remaining Life:]])</f>
        <v/>
      </c>
      <c r="BL71" s="194" t="str">
        <f>IF(Table2[[#This Row],[Counter Number]]="","",IF(Table2[[#This Row],[Lifetime PM2.5 Reduction (tons)]]=0,"NA",Table2[[#This Row],[Upgrade Cost Per Unit]]/Table2[[#This Row],[Lifetime PM2.5 Reduction (tons)]]))</f>
        <v/>
      </c>
      <c r="BM71" s="179" t="str">
        <f>IF(Table2[[#This Row],[Counter Number]]="","",Table2[[#This Row],[Annual Miles Traveled:]]*VLOOKUP(Table2[[#This Row],[Engine Model Year:]],EF!$A$2:$G$40,5,FALSE))</f>
        <v/>
      </c>
      <c r="BN71" s="173" t="str">
        <f>IF(Table2[[#This Row],[Counter Number]]="","",Table2[[#This Row],[Annual Miles Traveled:]]*IF(Table2[[#This Row],[New Engine Fuel Type:]]="ULSD",VLOOKUP(Table2[[#This Row],[New Engine Model Year:]],EFTable[],5,FALSE),VLOOKUP(Table2[[#This Row],[New Engine Fuel Type:]],EFTable[],5,FALSE)))</f>
        <v/>
      </c>
      <c r="BO71" s="190" t="str">
        <f>IF(Table2[[#This Row],[Counter Number]]="","",Table2[[#This Row],[Old Bus HC Emissions (tons/yr)]]-Table2[[#This Row],[New Bus HC Emissions (tons/yr)]])</f>
        <v/>
      </c>
      <c r="BP71" s="188" t="str">
        <f>IF(Table2[[#This Row],[Counter Number]]="","",Table2[[#This Row],[Reduction Bus HC Emissions (tons/yr)]]/Table2[[#This Row],[Old Bus HC Emissions (tons/yr)]])</f>
        <v/>
      </c>
      <c r="BQ71" s="193" t="str">
        <f>IF(Table2[[#This Row],[Counter Number]]="","",Table2[[#This Row],[Reduction Bus HC Emissions (tons/yr)]]*Table2[[#This Row],[Remaining Life:]])</f>
        <v/>
      </c>
      <c r="BR71" s="194" t="str">
        <f>IF(Table2[[#This Row],[Counter Number]]="","",IF(Table2[[#This Row],[Lifetime HC Reduction (tons)]]=0,"NA",Table2[[#This Row],[Upgrade Cost Per Unit]]/Table2[[#This Row],[Lifetime HC Reduction (tons)]]))</f>
        <v/>
      </c>
      <c r="BS71" s="191" t="str">
        <f>IF(Table2[[#This Row],[Counter Number]]="","",Table2[[#This Row],[Annual Miles Traveled:]]*VLOOKUP(Table2[[#This Row],[Engine Model Year:]],EF!$A$2:$G$27,6,FALSE))</f>
        <v/>
      </c>
      <c r="BT71" s="173" t="str">
        <f>IF(Table2[[#This Row],[Counter Number]]="","",Table2[[#This Row],[Annual Miles Traveled:]]*IF(Table2[[#This Row],[New Engine Fuel Type:]]="ULSD",VLOOKUP(Table2[[#This Row],[New Engine Model Year:]],EFTable[],6,FALSE),VLOOKUP(Table2[[#This Row],[New Engine Fuel Type:]],EFTable[],6,FALSE)))</f>
        <v/>
      </c>
      <c r="BU71" s="190" t="str">
        <f>IF(Table2[[#This Row],[Counter Number]]="","",Table2[[#This Row],[Old Bus CO Emissions (tons/yr)]]-Table2[[#This Row],[New Bus CO Emissions (tons/yr)]])</f>
        <v/>
      </c>
      <c r="BV71" s="188" t="str">
        <f>IF(Table2[[#This Row],[Counter Number]]="","",Table2[[#This Row],[Reduction Bus CO Emissions (tons/yr)]]/Table2[[#This Row],[Old Bus CO Emissions (tons/yr)]])</f>
        <v/>
      </c>
      <c r="BW71" s="193" t="str">
        <f>IF(Table2[[#This Row],[Counter Number]]="","",Table2[[#This Row],[Reduction Bus CO Emissions (tons/yr)]]*Table2[[#This Row],[Remaining Life:]])</f>
        <v/>
      </c>
      <c r="BX71" s="194" t="str">
        <f>IF(Table2[[#This Row],[Counter Number]]="","",IF(Table2[[#This Row],[Lifetime CO Reduction (tons)]]=0,"NA",Table2[[#This Row],[Upgrade Cost Per Unit]]/Table2[[#This Row],[Lifetime CO Reduction (tons)]]))</f>
        <v/>
      </c>
      <c r="BY71" s="180" t="str">
        <f>IF(Table2[[#This Row],[Counter Number]]="","",Table2[[#This Row],[Old ULSD Used (gal):]]*VLOOKUP(Table2[[#This Row],[Engine Model Year:]],EF!$A$2:$G$27,7,FALSE))</f>
        <v/>
      </c>
      <c r="BZ7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1" s="195" t="str">
        <f>IF(Table2[[#This Row],[Counter Number]]="","",Table2[[#This Row],[Old Bus CO2 Emissions (tons/yr)]]-Table2[[#This Row],[New Bus CO2 Emissions (tons/yr)]])</f>
        <v/>
      </c>
      <c r="CB71" s="188" t="str">
        <f>IF(Table2[[#This Row],[Counter Number]]="","",Table2[[#This Row],[Reduction Bus CO2 Emissions (tons/yr)]]/Table2[[#This Row],[Old Bus CO2 Emissions (tons/yr)]])</f>
        <v/>
      </c>
      <c r="CC71" s="195" t="str">
        <f>IF(Table2[[#This Row],[Counter Number]]="","",Table2[[#This Row],[Reduction Bus CO2 Emissions (tons/yr)]]*Table2[[#This Row],[Remaining Life:]])</f>
        <v/>
      </c>
      <c r="CD71" s="194" t="str">
        <f>IF(Table2[[#This Row],[Counter Number]]="","",IF(Table2[[#This Row],[Lifetime CO2 Reduction (tons)]]=0,"NA",Table2[[#This Row],[Upgrade Cost Per Unit]]/Table2[[#This Row],[Lifetime CO2 Reduction (tons)]]))</f>
        <v/>
      </c>
      <c r="CE71" s="182" t="str">
        <f>IF(Table2[[#This Row],[Counter Number]]="","",IF(Table2[[#This Row],[New ULSD Used (gal):]]="",Table2[[#This Row],[Old ULSD Used (gal):]],Table2[[#This Row],[Old ULSD Used (gal):]]-Table2[[#This Row],[New ULSD Used (gal):]]))</f>
        <v/>
      </c>
      <c r="CF71" s="196" t="str">
        <f>IF(Table2[[#This Row],[Counter Number]]="","",Table2[[#This Row],[Diesel Fuel Reduction (gal/yr)]]/Table2[[#This Row],[Old ULSD Used (gal):]])</f>
        <v/>
      </c>
      <c r="CG71" s="197" t="str">
        <f>IF(Table2[[#This Row],[Counter Number]]="","",Table2[[#This Row],[Diesel Fuel Reduction (gal/yr)]]*Table2[[#This Row],[Remaining Life:]])</f>
        <v/>
      </c>
    </row>
    <row r="72" spans="1:85">
      <c r="A72" s="184" t="str">
        <f>IF(A71&lt;Application!$D$24,A71+1,"")</f>
        <v/>
      </c>
      <c r="B72" s="60" t="str">
        <f>IF(Table2[[#This Row],[Counter Number]]="","",Application!$D$16)</f>
        <v/>
      </c>
      <c r="C72" s="60" t="str">
        <f>IF(Table2[[#This Row],[Counter Number]]="","",Application!$D$14)</f>
        <v/>
      </c>
      <c r="D72" s="60" t="str">
        <f>IF(Table2[[#This Row],[Counter Number]]="","",Table1[[#This Row],[Old Bus Number]])</f>
        <v/>
      </c>
      <c r="E72" s="60" t="str">
        <f>IF(Table2[[#This Row],[Counter Number]]="","",Application!$D$15)</f>
        <v/>
      </c>
      <c r="F72" s="60" t="str">
        <f>IF(Table2[[#This Row],[Counter Number]]="","","On Highway")</f>
        <v/>
      </c>
      <c r="G72" s="60" t="str">
        <f>IF(Table2[[#This Row],[Counter Number]]="","",I72)</f>
        <v/>
      </c>
      <c r="H72" s="60" t="str">
        <f>IF(Table2[[#This Row],[Counter Number]]="","","Georgia")</f>
        <v/>
      </c>
      <c r="I72" s="60" t="str">
        <f>IF(Table2[[#This Row],[Counter Number]]="","",Application!$D$16)</f>
        <v/>
      </c>
      <c r="J72" s="60" t="str">
        <f>IF(Table2[[#This Row],[Counter Number]]="","",Application!$D$21)</f>
        <v/>
      </c>
      <c r="K72" s="60" t="str">
        <f>IF(Table2[[#This Row],[Counter Number]]="","",Application!$J$21)</f>
        <v/>
      </c>
      <c r="L72" s="60" t="str">
        <f>IF(Table2[[#This Row],[Counter Number]]="","","School Bus")</f>
        <v/>
      </c>
      <c r="M72" s="60" t="str">
        <f>IF(Table2[[#This Row],[Counter Number]]="","","School Bus")</f>
        <v/>
      </c>
      <c r="N72" s="60" t="str">
        <f>IF(Table2[[#This Row],[Counter Number]]="","",1)</f>
        <v/>
      </c>
      <c r="O72" s="60" t="str">
        <f>IF(Table2[[#This Row],[Counter Number]]="","",Table1[[#This Row],[Vehicle Identification Number(s):]])</f>
        <v/>
      </c>
      <c r="P72" s="60" t="str">
        <f>IF(Table2[[#This Row],[Counter Number]]="","",Table1[[#This Row],[Old Bus Manufacturer:]])</f>
        <v/>
      </c>
      <c r="Q72" s="60" t="str">
        <f>IF(Table2[[#This Row],[Counter Number]]="","",Table1[[#This Row],[Vehicle Model:]])</f>
        <v/>
      </c>
      <c r="R72" s="165" t="str">
        <f>IF(Table2[[#This Row],[Counter Number]]="","",Table1[[#This Row],[Vehicle Model Year:]])</f>
        <v/>
      </c>
      <c r="S72" s="60" t="str">
        <f>IF(Table2[[#This Row],[Counter Number]]="","",Table1[[#This Row],[Engine Serial Number(s):]])</f>
        <v/>
      </c>
      <c r="T72" s="60" t="str">
        <f>IF(Table2[[#This Row],[Counter Number]]="","",Table1[[#This Row],[Engine Make:]])</f>
        <v/>
      </c>
      <c r="U72" s="60" t="str">
        <f>IF(Table2[[#This Row],[Counter Number]]="","",Table1[[#This Row],[Engine Model:]])</f>
        <v/>
      </c>
      <c r="V72" s="165" t="str">
        <f>IF(Table2[[#This Row],[Counter Number]]="","",Table1[[#This Row],[Engine Model Year:]])</f>
        <v/>
      </c>
      <c r="W72" s="60" t="str">
        <f>IF(Table2[[#This Row],[Counter Number]]="","","NA")</f>
        <v/>
      </c>
      <c r="X72" s="165" t="str">
        <f>IF(Table2[[#This Row],[Counter Number]]="","",Table1[[#This Row],[Engine Horsepower (HP):]])</f>
        <v/>
      </c>
      <c r="Y72" s="165" t="str">
        <f>IF(Table2[[#This Row],[Counter Number]]="","",Table1[[#This Row],[Engine Cylinder Displacement (L):]]&amp;" L")</f>
        <v/>
      </c>
      <c r="Z72" s="165" t="str">
        <f>IF(Table2[[#This Row],[Counter Number]]="","",Table1[[#This Row],[Engine Number of Cylinders:]])</f>
        <v/>
      </c>
      <c r="AA72" s="166" t="str">
        <f>IF(Table2[[#This Row],[Counter Number]]="","",Table1[[#This Row],[Engine Family Name:]])</f>
        <v/>
      </c>
      <c r="AB72" s="60" t="str">
        <f>IF(Table2[[#This Row],[Counter Number]]="","","ULSD")</f>
        <v/>
      </c>
      <c r="AC72" s="167" t="str">
        <f>IF(Table2[[#This Row],[Counter Number]]="","",Table2[[#This Row],[Annual Miles Traveled:]]/Table1[[#This Row],[Old Fuel (mpg)]])</f>
        <v/>
      </c>
      <c r="AD72" s="60" t="str">
        <f>IF(Table2[[#This Row],[Counter Number]]="","","NA")</f>
        <v/>
      </c>
      <c r="AE72" s="168" t="str">
        <f>IF(Table2[[#This Row],[Counter Number]]="","",Table1[[#This Row],[Annual Miles Traveled]])</f>
        <v/>
      </c>
      <c r="AF72" s="169" t="str">
        <f>IF(Table2[[#This Row],[Counter Number]]="","",Table1[[#This Row],[Annual Idling Hours:]])</f>
        <v/>
      </c>
      <c r="AG72" s="60" t="str">
        <f>IF(Table2[[#This Row],[Counter Number]]="","","NA")</f>
        <v/>
      </c>
      <c r="AH72" s="165" t="str">
        <f>IF(Table2[[#This Row],[Counter Number]]="","",IF(Application!$J$25="Set Policy",Table1[[#This Row],[Remaining Life (years)         Set Policy]],Table1[[#This Row],[Remaining Life (years)               Case-by-Case]]))</f>
        <v/>
      </c>
      <c r="AI72" s="165" t="str">
        <f>IF(Table2[[#This Row],[Counter Number]]="","",IF(Application!$J$25="Case-by-Case","NA",Table2[[#This Row],[Fiscal Year of EPA Funds Used:]]+Table2[[#This Row],[Remaining Life:]]))</f>
        <v/>
      </c>
      <c r="AJ72" s="165"/>
      <c r="AK72" s="170" t="str">
        <f>IF(Table2[[#This Row],[Counter Number]]="","",Application!$D$14+1)</f>
        <v/>
      </c>
      <c r="AL72" s="60" t="str">
        <f>IF(Table2[[#This Row],[Counter Number]]="","","Vehicle Replacement")</f>
        <v/>
      </c>
      <c r="AM7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2" s="171" t="str">
        <f>IF(Table2[[#This Row],[Counter Number]]="","",Table1[[#This Row],[Cost of New Bus:]])</f>
        <v/>
      </c>
      <c r="AO72" s="60" t="str">
        <f>IF(Table2[[#This Row],[Counter Number]]="","","NA")</f>
        <v/>
      </c>
      <c r="AP72" s="165" t="str">
        <f>IF(Table2[[#This Row],[Counter Number]]="","",Table1[[#This Row],[New Engine Model Year:]])</f>
        <v/>
      </c>
      <c r="AQ72" s="60" t="str">
        <f>IF(Table2[[#This Row],[Counter Number]]="","","NA")</f>
        <v/>
      </c>
      <c r="AR72" s="165" t="str">
        <f>IF(Table2[[#This Row],[Counter Number]]="","",Table1[[#This Row],[New Engine Horsepower (HP):]])</f>
        <v/>
      </c>
      <c r="AS72" s="60" t="str">
        <f>IF(Table2[[#This Row],[Counter Number]]="","","NA")</f>
        <v/>
      </c>
      <c r="AT72" s="165" t="str">
        <f>IF(Table2[[#This Row],[Counter Number]]="","",Table1[[#This Row],[New Engine Cylinder Displacement (L):]]&amp;" L")</f>
        <v/>
      </c>
      <c r="AU72" s="114" t="str">
        <f>IF(Table2[[#This Row],[Counter Number]]="","",Table1[[#This Row],[New Engine Number of Cylinders:]])</f>
        <v/>
      </c>
      <c r="AV72" s="60" t="str">
        <f>IF(Table2[[#This Row],[Counter Number]]="","",Table1[[#This Row],[New Engine Family Name:]])</f>
        <v/>
      </c>
      <c r="AW7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2" s="60" t="str">
        <f>IF(Table2[[#This Row],[Counter Number]]="","","NA")</f>
        <v/>
      </c>
      <c r="AY72" s="172" t="str">
        <f>IF(Table2[[#This Row],[Counter Number]]="","",IF(Table2[[#This Row],[New Engine Fuel Type:]]="ULSD",Table1[[#This Row],[Annual Miles Traveled]]/Table1[[#This Row],[New Fuel (mpg) if Diesel]],""))</f>
        <v/>
      </c>
      <c r="AZ72" s="60"/>
      <c r="BA72" s="173" t="str">
        <f>IF(Table2[[#This Row],[Counter Number]]="","",Table2[[#This Row],[Annual Miles Traveled:]]*VLOOKUP(Table2[[#This Row],[Engine Model Year:]],EFTable[],3,FALSE))</f>
        <v/>
      </c>
      <c r="BB72" s="173" t="str">
        <f>IF(Table2[[#This Row],[Counter Number]]="","",Table2[[#This Row],[Annual Miles Traveled:]]*IF(Table2[[#This Row],[New Engine Fuel Type:]]="ULSD",VLOOKUP(Table2[[#This Row],[New Engine Model Year:]],EFTable[],3,FALSE),VLOOKUP(Table2[[#This Row],[New Engine Fuel Type:]],EFTable[],3,FALSE)))</f>
        <v/>
      </c>
      <c r="BC72" s="187" t="str">
        <f>IF(Table2[[#This Row],[Counter Number]]="","",Table2[[#This Row],[Old Bus NOx Emissions (tons/yr)]]-Table2[[#This Row],[New Bus NOx Emissions (tons/yr)]])</f>
        <v/>
      </c>
      <c r="BD72" s="188" t="str">
        <f>IF(Table2[[#This Row],[Counter Number]]="","",Table2[[#This Row],[Reduction Bus NOx Emissions (tons/yr)]]/Table2[[#This Row],[Old Bus NOx Emissions (tons/yr)]])</f>
        <v/>
      </c>
      <c r="BE72" s="175" t="str">
        <f>IF(Table2[[#This Row],[Counter Number]]="","",Table2[[#This Row],[Reduction Bus NOx Emissions (tons/yr)]]*Table2[[#This Row],[Remaining Life:]])</f>
        <v/>
      </c>
      <c r="BF72" s="189" t="str">
        <f>IF(Table2[[#This Row],[Counter Number]]="","",IF(Table2[[#This Row],[Lifetime NOx Reduction (tons)]]=0,"NA",Table2[[#This Row],[Upgrade Cost Per Unit]]/Table2[[#This Row],[Lifetime NOx Reduction (tons)]]))</f>
        <v/>
      </c>
      <c r="BG72" s="190" t="str">
        <f>IF(Table2[[#This Row],[Counter Number]]="","",Table2[[#This Row],[Annual Miles Traveled:]]*VLOOKUP(Table2[[#This Row],[Engine Model Year:]],EF!$A$2:$G$27,4,FALSE))</f>
        <v/>
      </c>
      <c r="BH72" s="173" t="str">
        <f>IF(Table2[[#This Row],[Counter Number]]="","",Table2[[#This Row],[Annual Miles Traveled:]]*IF(Table2[[#This Row],[New Engine Fuel Type:]]="ULSD",VLOOKUP(Table2[[#This Row],[New Engine Model Year:]],EFTable[],4,FALSE),VLOOKUP(Table2[[#This Row],[New Engine Fuel Type:]],EFTable[],4,FALSE)))</f>
        <v/>
      </c>
      <c r="BI72" s="191" t="str">
        <f>IF(Table2[[#This Row],[Counter Number]]="","",Table2[[#This Row],[Old Bus PM2.5 Emissions (tons/yr)]]-Table2[[#This Row],[New Bus PM2.5 Emissions (tons/yr)]])</f>
        <v/>
      </c>
      <c r="BJ72" s="192" t="str">
        <f>IF(Table2[[#This Row],[Counter Number]]="","",Table2[[#This Row],[Reduction Bus PM2.5 Emissions (tons/yr)]]/Table2[[#This Row],[Old Bus PM2.5 Emissions (tons/yr)]])</f>
        <v/>
      </c>
      <c r="BK72" s="193" t="str">
        <f>IF(Table2[[#This Row],[Counter Number]]="","",Table2[[#This Row],[Reduction Bus PM2.5 Emissions (tons/yr)]]*Table2[[#This Row],[Remaining Life:]])</f>
        <v/>
      </c>
      <c r="BL72" s="194" t="str">
        <f>IF(Table2[[#This Row],[Counter Number]]="","",IF(Table2[[#This Row],[Lifetime PM2.5 Reduction (tons)]]=0,"NA",Table2[[#This Row],[Upgrade Cost Per Unit]]/Table2[[#This Row],[Lifetime PM2.5 Reduction (tons)]]))</f>
        <v/>
      </c>
      <c r="BM72" s="179" t="str">
        <f>IF(Table2[[#This Row],[Counter Number]]="","",Table2[[#This Row],[Annual Miles Traveled:]]*VLOOKUP(Table2[[#This Row],[Engine Model Year:]],EF!$A$2:$G$40,5,FALSE))</f>
        <v/>
      </c>
      <c r="BN72" s="173" t="str">
        <f>IF(Table2[[#This Row],[Counter Number]]="","",Table2[[#This Row],[Annual Miles Traveled:]]*IF(Table2[[#This Row],[New Engine Fuel Type:]]="ULSD",VLOOKUP(Table2[[#This Row],[New Engine Model Year:]],EFTable[],5,FALSE),VLOOKUP(Table2[[#This Row],[New Engine Fuel Type:]],EFTable[],5,FALSE)))</f>
        <v/>
      </c>
      <c r="BO72" s="190" t="str">
        <f>IF(Table2[[#This Row],[Counter Number]]="","",Table2[[#This Row],[Old Bus HC Emissions (tons/yr)]]-Table2[[#This Row],[New Bus HC Emissions (tons/yr)]])</f>
        <v/>
      </c>
      <c r="BP72" s="188" t="str">
        <f>IF(Table2[[#This Row],[Counter Number]]="","",Table2[[#This Row],[Reduction Bus HC Emissions (tons/yr)]]/Table2[[#This Row],[Old Bus HC Emissions (tons/yr)]])</f>
        <v/>
      </c>
      <c r="BQ72" s="193" t="str">
        <f>IF(Table2[[#This Row],[Counter Number]]="","",Table2[[#This Row],[Reduction Bus HC Emissions (tons/yr)]]*Table2[[#This Row],[Remaining Life:]])</f>
        <v/>
      </c>
      <c r="BR72" s="194" t="str">
        <f>IF(Table2[[#This Row],[Counter Number]]="","",IF(Table2[[#This Row],[Lifetime HC Reduction (tons)]]=0,"NA",Table2[[#This Row],[Upgrade Cost Per Unit]]/Table2[[#This Row],[Lifetime HC Reduction (tons)]]))</f>
        <v/>
      </c>
      <c r="BS72" s="191" t="str">
        <f>IF(Table2[[#This Row],[Counter Number]]="","",Table2[[#This Row],[Annual Miles Traveled:]]*VLOOKUP(Table2[[#This Row],[Engine Model Year:]],EF!$A$2:$G$27,6,FALSE))</f>
        <v/>
      </c>
      <c r="BT72" s="173" t="str">
        <f>IF(Table2[[#This Row],[Counter Number]]="","",Table2[[#This Row],[Annual Miles Traveled:]]*IF(Table2[[#This Row],[New Engine Fuel Type:]]="ULSD",VLOOKUP(Table2[[#This Row],[New Engine Model Year:]],EFTable[],6,FALSE),VLOOKUP(Table2[[#This Row],[New Engine Fuel Type:]],EFTable[],6,FALSE)))</f>
        <v/>
      </c>
      <c r="BU72" s="190" t="str">
        <f>IF(Table2[[#This Row],[Counter Number]]="","",Table2[[#This Row],[Old Bus CO Emissions (tons/yr)]]-Table2[[#This Row],[New Bus CO Emissions (tons/yr)]])</f>
        <v/>
      </c>
      <c r="BV72" s="188" t="str">
        <f>IF(Table2[[#This Row],[Counter Number]]="","",Table2[[#This Row],[Reduction Bus CO Emissions (tons/yr)]]/Table2[[#This Row],[Old Bus CO Emissions (tons/yr)]])</f>
        <v/>
      </c>
      <c r="BW72" s="193" t="str">
        <f>IF(Table2[[#This Row],[Counter Number]]="","",Table2[[#This Row],[Reduction Bus CO Emissions (tons/yr)]]*Table2[[#This Row],[Remaining Life:]])</f>
        <v/>
      </c>
      <c r="BX72" s="194" t="str">
        <f>IF(Table2[[#This Row],[Counter Number]]="","",IF(Table2[[#This Row],[Lifetime CO Reduction (tons)]]=0,"NA",Table2[[#This Row],[Upgrade Cost Per Unit]]/Table2[[#This Row],[Lifetime CO Reduction (tons)]]))</f>
        <v/>
      </c>
      <c r="BY72" s="180" t="str">
        <f>IF(Table2[[#This Row],[Counter Number]]="","",Table2[[#This Row],[Old ULSD Used (gal):]]*VLOOKUP(Table2[[#This Row],[Engine Model Year:]],EF!$A$2:$G$27,7,FALSE))</f>
        <v/>
      </c>
      <c r="BZ7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2" s="195" t="str">
        <f>IF(Table2[[#This Row],[Counter Number]]="","",Table2[[#This Row],[Old Bus CO2 Emissions (tons/yr)]]-Table2[[#This Row],[New Bus CO2 Emissions (tons/yr)]])</f>
        <v/>
      </c>
      <c r="CB72" s="188" t="str">
        <f>IF(Table2[[#This Row],[Counter Number]]="","",Table2[[#This Row],[Reduction Bus CO2 Emissions (tons/yr)]]/Table2[[#This Row],[Old Bus CO2 Emissions (tons/yr)]])</f>
        <v/>
      </c>
      <c r="CC72" s="195" t="str">
        <f>IF(Table2[[#This Row],[Counter Number]]="","",Table2[[#This Row],[Reduction Bus CO2 Emissions (tons/yr)]]*Table2[[#This Row],[Remaining Life:]])</f>
        <v/>
      </c>
      <c r="CD72" s="194" t="str">
        <f>IF(Table2[[#This Row],[Counter Number]]="","",IF(Table2[[#This Row],[Lifetime CO2 Reduction (tons)]]=0,"NA",Table2[[#This Row],[Upgrade Cost Per Unit]]/Table2[[#This Row],[Lifetime CO2 Reduction (tons)]]))</f>
        <v/>
      </c>
      <c r="CE72" s="182" t="str">
        <f>IF(Table2[[#This Row],[Counter Number]]="","",IF(Table2[[#This Row],[New ULSD Used (gal):]]="",Table2[[#This Row],[Old ULSD Used (gal):]],Table2[[#This Row],[Old ULSD Used (gal):]]-Table2[[#This Row],[New ULSD Used (gal):]]))</f>
        <v/>
      </c>
      <c r="CF72" s="196" t="str">
        <f>IF(Table2[[#This Row],[Counter Number]]="","",Table2[[#This Row],[Diesel Fuel Reduction (gal/yr)]]/Table2[[#This Row],[Old ULSD Used (gal):]])</f>
        <v/>
      </c>
      <c r="CG72" s="197" t="str">
        <f>IF(Table2[[#This Row],[Counter Number]]="","",Table2[[#This Row],[Diesel Fuel Reduction (gal/yr)]]*Table2[[#This Row],[Remaining Life:]])</f>
        <v/>
      </c>
    </row>
    <row r="73" spans="1:85">
      <c r="A73" s="184" t="str">
        <f>IF(A72&lt;Application!$D$24,A72+1,"")</f>
        <v/>
      </c>
      <c r="B73" s="60" t="str">
        <f>IF(Table2[[#This Row],[Counter Number]]="","",Application!$D$16)</f>
        <v/>
      </c>
      <c r="C73" s="60" t="str">
        <f>IF(Table2[[#This Row],[Counter Number]]="","",Application!$D$14)</f>
        <v/>
      </c>
      <c r="D73" s="60" t="str">
        <f>IF(Table2[[#This Row],[Counter Number]]="","",Table1[[#This Row],[Old Bus Number]])</f>
        <v/>
      </c>
      <c r="E73" s="60" t="str">
        <f>IF(Table2[[#This Row],[Counter Number]]="","",Application!$D$15)</f>
        <v/>
      </c>
      <c r="F73" s="60" t="str">
        <f>IF(Table2[[#This Row],[Counter Number]]="","","On Highway")</f>
        <v/>
      </c>
      <c r="G73" s="60" t="str">
        <f>IF(Table2[[#This Row],[Counter Number]]="","",I73)</f>
        <v/>
      </c>
      <c r="H73" s="60" t="str">
        <f>IF(Table2[[#This Row],[Counter Number]]="","","Georgia")</f>
        <v/>
      </c>
      <c r="I73" s="60" t="str">
        <f>IF(Table2[[#This Row],[Counter Number]]="","",Application!$D$16)</f>
        <v/>
      </c>
      <c r="J73" s="60" t="str">
        <f>IF(Table2[[#This Row],[Counter Number]]="","",Application!$D$21)</f>
        <v/>
      </c>
      <c r="K73" s="60" t="str">
        <f>IF(Table2[[#This Row],[Counter Number]]="","",Application!$J$21)</f>
        <v/>
      </c>
      <c r="L73" s="60" t="str">
        <f>IF(Table2[[#This Row],[Counter Number]]="","","School Bus")</f>
        <v/>
      </c>
      <c r="M73" s="60" t="str">
        <f>IF(Table2[[#This Row],[Counter Number]]="","","School Bus")</f>
        <v/>
      </c>
      <c r="N73" s="60" t="str">
        <f>IF(Table2[[#This Row],[Counter Number]]="","",1)</f>
        <v/>
      </c>
      <c r="O73" s="60" t="str">
        <f>IF(Table2[[#This Row],[Counter Number]]="","",Table1[[#This Row],[Vehicle Identification Number(s):]])</f>
        <v/>
      </c>
      <c r="P73" s="60" t="str">
        <f>IF(Table2[[#This Row],[Counter Number]]="","",Table1[[#This Row],[Old Bus Manufacturer:]])</f>
        <v/>
      </c>
      <c r="Q73" s="60" t="str">
        <f>IF(Table2[[#This Row],[Counter Number]]="","",Table1[[#This Row],[Vehicle Model:]])</f>
        <v/>
      </c>
      <c r="R73" s="165" t="str">
        <f>IF(Table2[[#This Row],[Counter Number]]="","",Table1[[#This Row],[Vehicle Model Year:]])</f>
        <v/>
      </c>
      <c r="S73" s="60" t="str">
        <f>IF(Table2[[#This Row],[Counter Number]]="","",Table1[[#This Row],[Engine Serial Number(s):]])</f>
        <v/>
      </c>
      <c r="T73" s="60" t="str">
        <f>IF(Table2[[#This Row],[Counter Number]]="","",Table1[[#This Row],[Engine Make:]])</f>
        <v/>
      </c>
      <c r="U73" s="60" t="str">
        <f>IF(Table2[[#This Row],[Counter Number]]="","",Table1[[#This Row],[Engine Model:]])</f>
        <v/>
      </c>
      <c r="V73" s="165" t="str">
        <f>IF(Table2[[#This Row],[Counter Number]]="","",Table1[[#This Row],[Engine Model Year:]])</f>
        <v/>
      </c>
      <c r="W73" s="60" t="str">
        <f>IF(Table2[[#This Row],[Counter Number]]="","","NA")</f>
        <v/>
      </c>
      <c r="X73" s="165" t="str">
        <f>IF(Table2[[#This Row],[Counter Number]]="","",Table1[[#This Row],[Engine Horsepower (HP):]])</f>
        <v/>
      </c>
      <c r="Y73" s="165" t="str">
        <f>IF(Table2[[#This Row],[Counter Number]]="","",Table1[[#This Row],[Engine Cylinder Displacement (L):]]&amp;" L")</f>
        <v/>
      </c>
      <c r="Z73" s="165" t="str">
        <f>IF(Table2[[#This Row],[Counter Number]]="","",Table1[[#This Row],[Engine Number of Cylinders:]])</f>
        <v/>
      </c>
      <c r="AA73" s="166" t="str">
        <f>IF(Table2[[#This Row],[Counter Number]]="","",Table1[[#This Row],[Engine Family Name:]])</f>
        <v/>
      </c>
      <c r="AB73" s="60" t="str">
        <f>IF(Table2[[#This Row],[Counter Number]]="","","ULSD")</f>
        <v/>
      </c>
      <c r="AC73" s="167" t="str">
        <f>IF(Table2[[#This Row],[Counter Number]]="","",Table2[[#This Row],[Annual Miles Traveled:]]/Table1[[#This Row],[Old Fuel (mpg)]])</f>
        <v/>
      </c>
      <c r="AD73" s="60" t="str">
        <f>IF(Table2[[#This Row],[Counter Number]]="","","NA")</f>
        <v/>
      </c>
      <c r="AE73" s="168" t="str">
        <f>IF(Table2[[#This Row],[Counter Number]]="","",Table1[[#This Row],[Annual Miles Traveled]])</f>
        <v/>
      </c>
      <c r="AF73" s="169" t="str">
        <f>IF(Table2[[#This Row],[Counter Number]]="","",Table1[[#This Row],[Annual Idling Hours:]])</f>
        <v/>
      </c>
      <c r="AG73" s="60" t="str">
        <f>IF(Table2[[#This Row],[Counter Number]]="","","NA")</f>
        <v/>
      </c>
      <c r="AH73" s="165" t="str">
        <f>IF(Table2[[#This Row],[Counter Number]]="","",IF(Application!$J$25="Set Policy",Table1[[#This Row],[Remaining Life (years)         Set Policy]],Table1[[#This Row],[Remaining Life (years)               Case-by-Case]]))</f>
        <v/>
      </c>
      <c r="AI73" s="165" t="str">
        <f>IF(Table2[[#This Row],[Counter Number]]="","",IF(Application!$J$25="Case-by-Case","NA",Table2[[#This Row],[Fiscal Year of EPA Funds Used:]]+Table2[[#This Row],[Remaining Life:]]))</f>
        <v/>
      </c>
      <c r="AJ73" s="165"/>
      <c r="AK73" s="170" t="str">
        <f>IF(Table2[[#This Row],[Counter Number]]="","",Application!$D$14+1)</f>
        <v/>
      </c>
      <c r="AL73" s="60" t="str">
        <f>IF(Table2[[#This Row],[Counter Number]]="","","Vehicle Replacement")</f>
        <v/>
      </c>
      <c r="AM7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3" s="171" t="str">
        <f>IF(Table2[[#This Row],[Counter Number]]="","",Table1[[#This Row],[Cost of New Bus:]])</f>
        <v/>
      </c>
      <c r="AO73" s="60" t="str">
        <f>IF(Table2[[#This Row],[Counter Number]]="","","NA")</f>
        <v/>
      </c>
      <c r="AP73" s="165" t="str">
        <f>IF(Table2[[#This Row],[Counter Number]]="","",Table1[[#This Row],[New Engine Model Year:]])</f>
        <v/>
      </c>
      <c r="AQ73" s="60" t="str">
        <f>IF(Table2[[#This Row],[Counter Number]]="","","NA")</f>
        <v/>
      </c>
      <c r="AR73" s="165" t="str">
        <f>IF(Table2[[#This Row],[Counter Number]]="","",Table1[[#This Row],[New Engine Horsepower (HP):]])</f>
        <v/>
      </c>
      <c r="AS73" s="60" t="str">
        <f>IF(Table2[[#This Row],[Counter Number]]="","","NA")</f>
        <v/>
      </c>
      <c r="AT73" s="165" t="str">
        <f>IF(Table2[[#This Row],[Counter Number]]="","",Table1[[#This Row],[New Engine Cylinder Displacement (L):]]&amp;" L")</f>
        <v/>
      </c>
      <c r="AU73" s="114" t="str">
        <f>IF(Table2[[#This Row],[Counter Number]]="","",Table1[[#This Row],[New Engine Number of Cylinders:]])</f>
        <v/>
      </c>
      <c r="AV73" s="60" t="str">
        <f>IF(Table2[[#This Row],[Counter Number]]="","",Table1[[#This Row],[New Engine Family Name:]])</f>
        <v/>
      </c>
      <c r="AW7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3" s="60" t="str">
        <f>IF(Table2[[#This Row],[Counter Number]]="","","NA")</f>
        <v/>
      </c>
      <c r="AY73" s="172" t="str">
        <f>IF(Table2[[#This Row],[Counter Number]]="","",IF(Table2[[#This Row],[New Engine Fuel Type:]]="ULSD",Table1[[#This Row],[Annual Miles Traveled]]/Table1[[#This Row],[New Fuel (mpg) if Diesel]],""))</f>
        <v/>
      </c>
      <c r="AZ73" s="60"/>
      <c r="BA73" s="173" t="str">
        <f>IF(Table2[[#This Row],[Counter Number]]="","",Table2[[#This Row],[Annual Miles Traveled:]]*VLOOKUP(Table2[[#This Row],[Engine Model Year:]],EFTable[],3,FALSE))</f>
        <v/>
      </c>
      <c r="BB73" s="173" t="str">
        <f>IF(Table2[[#This Row],[Counter Number]]="","",Table2[[#This Row],[Annual Miles Traveled:]]*IF(Table2[[#This Row],[New Engine Fuel Type:]]="ULSD",VLOOKUP(Table2[[#This Row],[New Engine Model Year:]],EFTable[],3,FALSE),VLOOKUP(Table2[[#This Row],[New Engine Fuel Type:]],EFTable[],3,FALSE)))</f>
        <v/>
      </c>
      <c r="BC73" s="187" t="str">
        <f>IF(Table2[[#This Row],[Counter Number]]="","",Table2[[#This Row],[Old Bus NOx Emissions (tons/yr)]]-Table2[[#This Row],[New Bus NOx Emissions (tons/yr)]])</f>
        <v/>
      </c>
      <c r="BD73" s="188" t="str">
        <f>IF(Table2[[#This Row],[Counter Number]]="","",Table2[[#This Row],[Reduction Bus NOx Emissions (tons/yr)]]/Table2[[#This Row],[Old Bus NOx Emissions (tons/yr)]])</f>
        <v/>
      </c>
      <c r="BE73" s="175" t="str">
        <f>IF(Table2[[#This Row],[Counter Number]]="","",Table2[[#This Row],[Reduction Bus NOx Emissions (tons/yr)]]*Table2[[#This Row],[Remaining Life:]])</f>
        <v/>
      </c>
      <c r="BF73" s="189" t="str">
        <f>IF(Table2[[#This Row],[Counter Number]]="","",IF(Table2[[#This Row],[Lifetime NOx Reduction (tons)]]=0,"NA",Table2[[#This Row],[Upgrade Cost Per Unit]]/Table2[[#This Row],[Lifetime NOx Reduction (tons)]]))</f>
        <v/>
      </c>
      <c r="BG73" s="190" t="str">
        <f>IF(Table2[[#This Row],[Counter Number]]="","",Table2[[#This Row],[Annual Miles Traveled:]]*VLOOKUP(Table2[[#This Row],[Engine Model Year:]],EF!$A$2:$G$27,4,FALSE))</f>
        <v/>
      </c>
      <c r="BH73" s="173" t="str">
        <f>IF(Table2[[#This Row],[Counter Number]]="","",Table2[[#This Row],[Annual Miles Traveled:]]*IF(Table2[[#This Row],[New Engine Fuel Type:]]="ULSD",VLOOKUP(Table2[[#This Row],[New Engine Model Year:]],EFTable[],4,FALSE),VLOOKUP(Table2[[#This Row],[New Engine Fuel Type:]],EFTable[],4,FALSE)))</f>
        <v/>
      </c>
      <c r="BI73" s="191" t="str">
        <f>IF(Table2[[#This Row],[Counter Number]]="","",Table2[[#This Row],[Old Bus PM2.5 Emissions (tons/yr)]]-Table2[[#This Row],[New Bus PM2.5 Emissions (tons/yr)]])</f>
        <v/>
      </c>
      <c r="BJ73" s="192" t="str">
        <f>IF(Table2[[#This Row],[Counter Number]]="","",Table2[[#This Row],[Reduction Bus PM2.5 Emissions (tons/yr)]]/Table2[[#This Row],[Old Bus PM2.5 Emissions (tons/yr)]])</f>
        <v/>
      </c>
      <c r="BK73" s="193" t="str">
        <f>IF(Table2[[#This Row],[Counter Number]]="","",Table2[[#This Row],[Reduction Bus PM2.5 Emissions (tons/yr)]]*Table2[[#This Row],[Remaining Life:]])</f>
        <v/>
      </c>
      <c r="BL73" s="194" t="str">
        <f>IF(Table2[[#This Row],[Counter Number]]="","",IF(Table2[[#This Row],[Lifetime PM2.5 Reduction (tons)]]=0,"NA",Table2[[#This Row],[Upgrade Cost Per Unit]]/Table2[[#This Row],[Lifetime PM2.5 Reduction (tons)]]))</f>
        <v/>
      </c>
      <c r="BM73" s="179" t="str">
        <f>IF(Table2[[#This Row],[Counter Number]]="","",Table2[[#This Row],[Annual Miles Traveled:]]*VLOOKUP(Table2[[#This Row],[Engine Model Year:]],EF!$A$2:$G$40,5,FALSE))</f>
        <v/>
      </c>
      <c r="BN73" s="173" t="str">
        <f>IF(Table2[[#This Row],[Counter Number]]="","",Table2[[#This Row],[Annual Miles Traveled:]]*IF(Table2[[#This Row],[New Engine Fuel Type:]]="ULSD",VLOOKUP(Table2[[#This Row],[New Engine Model Year:]],EFTable[],5,FALSE),VLOOKUP(Table2[[#This Row],[New Engine Fuel Type:]],EFTable[],5,FALSE)))</f>
        <v/>
      </c>
      <c r="BO73" s="190" t="str">
        <f>IF(Table2[[#This Row],[Counter Number]]="","",Table2[[#This Row],[Old Bus HC Emissions (tons/yr)]]-Table2[[#This Row],[New Bus HC Emissions (tons/yr)]])</f>
        <v/>
      </c>
      <c r="BP73" s="188" t="str">
        <f>IF(Table2[[#This Row],[Counter Number]]="","",Table2[[#This Row],[Reduction Bus HC Emissions (tons/yr)]]/Table2[[#This Row],[Old Bus HC Emissions (tons/yr)]])</f>
        <v/>
      </c>
      <c r="BQ73" s="193" t="str">
        <f>IF(Table2[[#This Row],[Counter Number]]="","",Table2[[#This Row],[Reduction Bus HC Emissions (tons/yr)]]*Table2[[#This Row],[Remaining Life:]])</f>
        <v/>
      </c>
      <c r="BR73" s="194" t="str">
        <f>IF(Table2[[#This Row],[Counter Number]]="","",IF(Table2[[#This Row],[Lifetime HC Reduction (tons)]]=0,"NA",Table2[[#This Row],[Upgrade Cost Per Unit]]/Table2[[#This Row],[Lifetime HC Reduction (tons)]]))</f>
        <v/>
      </c>
      <c r="BS73" s="191" t="str">
        <f>IF(Table2[[#This Row],[Counter Number]]="","",Table2[[#This Row],[Annual Miles Traveled:]]*VLOOKUP(Table2[[#This Row],[Engine Model Year:]],EF!$A$2:$G$27,6,FALSE))</f>
        <v/>
      </c>
      <c r="BT73" s="173" t="str">
        <f>IF(Table2[[#This Row],[Counter Number]]="","",Table2[[#This Row],[Annual Miles Traveled:]]*IF(Table2[[#This Row],[New Engine Fuel Type:]]="ULSD",VLOOKUP(Table2[[#This Row],[New Engine Model Year:]],EFTable[],6,FALSE),VLOOKUP(Table2[[#This Row],[New Engine Fuel Type:]],EFTable[],6,FALSE)))</f>
        <v/>
      </c>
      <c r="BU73" s="190" t="str">
        <f>IF(Table2[[#This Row],[Counter Number]]="","",Table2[[#This Row],[Old Bus CO Emissions (tons/yr)]]-Table2[[#This Row],[New Bus CO Emissions (tons/yr)]])</f>
        <v/>
      </c>
      <c r="BV73" s="188" t="str">
        <f>IF(Table2[[#This Row],[Counter Number]]="","",Table2[[#This Row],[Reduction Bus CO Emissions (tons/yr)]]/Table2[[#This Row],[Old Bus CO Emissions (tons/yr)]])</f>
        <v/>
      </c>
      <c r="BW73" s="193" t="str">
        <f>IF(Table2[[#This Row],[Counter Number]]="","",Table2[[#This Row],[Reduction Bus CO Emissions (tons/yr)]]*Table2[[#This Row],[Remaining Life:]])</f>
        <v/>
      </c>
      <c r="BX73" s="194" t="str">
        <f>IF(Table2[[#This Row],[Counter Number]]="","",IF(Table2[[#This Row],[Lifetime CO Reduction (tons)]]=0,"NA",Table2[[#This Row],[Upgrade Cost Per Unit]]/Table2[[#This Row],[Lifetime CO Reduction (tons)]]))</f>
        <v/>
      </c>
      <c r="BY73" s="180" t="str">
        <f>IF(Table2[[#This Row],[Counter Number]]="","",Table2[[#This Row],[Old ULSD Used (gal):]]*VLOOKUP(Table2[[#This Row],[Engine Model Year:]],EF!$A$2:$G$27,7,FALSE))</f>
        <v/>
      </c>
      <c r="BZ7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3" s="195" t="str">
        <f>IF(Table2[[#This Row],[Counter Number]]="","",Table2[[#This Row],[Old Bus CO2 Emissions (tons/yr)]]-Table2[[#This Row],[New Bus CO2 Emissions (tons/yr)]])</f>
        <v/>
      </c>
      <c r="CB73" s="188" t="str">
        <f>IF(Table2[[#This Row],[Counter Number]]="","",Table2[[#This Row],[Reduction Bus CO2 Emissions (tons/yr)]]/Table2[[#This Row],[Old Bus CO2 Emissions (tons/yr)]])</f>
        <v/>
      </c>
      <c r="CC73" s="195" t="str">
        <f>IF(Table2[[#This Row],[Counter Number]]="","",Table2[[#This Row],[Reduction Bus CO2 Emissions (tons/yr)]]*Table2[[#This Row],[Remaining Life:]])</f>
        <v/>
      </c>
      <c r="CD73" s="194" t="str">
        <f>IF(Table2[[#This Row],[Counter Number]]="","",IF(Table2[[#This Row],[Lifetime CO2 Reduction (tons)]]=0,"NA",Table2[[#This Row],[Upgrade Cost Per Unit]]/Table2[[#This Row],[Lifetime CO2 Reduction (tons)]]))</f>
        <v/>
      </c>
      <c r="CE73" s="182" t="str">
        <f>IF(Table2[[#This Row],[Counter Number]]="","",IF(Table2[[#This Row],[New ULSD Used (gal):]]="",Table2[[#This Row],[Old ULSD Used (gal):]],Table2[[#This Row],[Old ULSD Used (gal):]]-Table2[[#This Row],[New ULSD Used (gal):]]))</f>
        <v/>
      </c>
      <c r="CF73" s="196" t="str">
        <f>IF(Table2[[#This Row],[Counter Number]]="","",Table2[[#This Row],[Diesel Fuel Reduction (gal/yr)]]/Table2[[#This Row],[Old ULSD Used (gal):]])</f>
        <v/>
      </c>
      <c r="CG73" s="197" t="str">
        <f>IF(Table2[[#This Row],[Counter Number]]="","",Table2[[#This Row],[Diesel Fuel Reduction (gal/yr)]]*Table2[[#This Row],[Remaining Life:]])</f>
        <v/>
      </c>
    </row>
    <row r="74" spans="1:85">
      <c r="A74" s="184" t="str">
        <f>IF(A73&lt;Application!$D$24,A73+1,"")</f>
        <v/>
      </c>
      <c r="B74" s="60" t="str">
        <f>IF(Table2[[#This Row],[Counter Number]]="","",Application!$D$16)</f>
        <v/>
      </c>
      <c r="C74" s="60" t="str">
        <f>IF(Table2[[#This Row],[Counter Number]]="","",Application!$D$14)</f>
        <v/>
      </c>
      <c r="D74" s="60" t="str">
        <f>IF(Table2[[#This Row],[Counter Number]]="","",Table1[[#This Row],[Old Bus Number]])</f>
        <v/>
      </c>
      <c r="E74" s="60" t="str">
        <f>IF(Table2[[#This Row],[Counter Number]]="","",Application!$D$15)</f>
        <v/>
      </c>
      <c r="F74" s="60" t="str">
        <f>IF(Table2[[#This Row],[Counter Number]]="","","On Highway")</f>
        <v/>
      </c>
      <c r="G74" s="60" t="str">
        <f>IF(Table2[[#This Row],[Counter Number]]="","",I74)</f>
        <v/>
      </c>
      <c r="H74" s="60" t="str">
        <f>IF(Table2[[#This Row],[Counter Number]]="","","Georgia")</f>
        <v/>
      </c>
      <c r="I74" s="60" t="str">
        <f>IF(Table2[[#This Row],[Counter Number]]="","",Application!$D$16)</f>
        <v/>
      </c>
      <c r="J74" s="60" t="str">
        <f>IF(Table2[[#This Row],[Counter Number]]="","",Application!$D$21)</f>
        <v/>
      </c>
      <c r="K74" s="60" t="str">
        <f>IF(Table2[[#This Row],[Counter Number]]="","",Application!$J$21)</f>
        <v/>
      </c>
      <c r="L74" s="60" t="str">
        <f>IF(Table2[[#This Row],[Counter Number]]="","","School Bus")</f>
        <v/>
      </c>
      <c r="M74" s="60" t="str">
        <f>IF(Table2[[#This Row],[Counter Number]]="","","School Bus")</f>
        <v/>
      </c>
      <c r="N74" s="60" t="str">
        <f>IF(Table2[[#This Row],[Counter Number]]="","",1)</f>
        <v/>
      </c>
      <c r="O74" s="60" t="str">
        <f>IF(Table2[[#This Row],[Counter Number]]="","",Table1[[#This Row],[Vehicle Identification Number(s):]])</f>
        <v/>
      </c>
      <c r="P74" s="60" t="str">
        <f>IF(Table2[[#This Row],[Counter Number]]="","",Table1[[#This Row],[Old Bus Manufacturer:]])</f>
        <v/>
      </c>
      <c r="Q74" s="60" t="str">
        <f>IF(Table2[[#This Row],[Counter Number]]="","",Table1[[#This Row],[Vehicle Model:]])</f>
        <v/>
      </c>
      <c r="R74" s="165" t="str">
        <f>IF(Table2[[#This Row],[Counter Number]]="","",Table1[[#This Row],[Vehicle Model Year:]])</f>
        <v/>
      </c>
      <c r="S74" s="60" t="str">
        <f>IF(Table2[[#This Row],[Counter Number]]="","",Table1[[#This Row],[Engine Serial Number(s):]])</f>
        <v/>
      </c>
      <c r="T74" s="60" t="str">
        <f>IF(Table2[[#This Row],[Counter Number]]="","",Table1[[#This Row],[Engine Make:]])</f>
        <v/>
      </c>
      <c r="U74" s="60" t="str">
        <f>IF(Table2[[#This Row],[Counter Number]]="","",Table1[[#This Row],[Engine Model:]])</f>
        <v/>
      </c>
      <c r="V74" s="165" t="str">
        <f>IF(Table2[[#This Row],[Counter Number]]="","",Table1[[#This Row],[Engine Model Year:]])</f>
        <v/>
      </c>
      <c r="W74" s="60" t="str">
        <f>IF(Table2[[#This Row],[Counter Number]]="","","NA")</f>
        <v/>
      </c>
      <c r="X74" s="165" t="str">
        <f>IF(Table2[[#This Row],[Counter Number]]="","",Table1[[#This Row],[Engine Horsepower (HP):]])</f>
        <v/>
      </c>
      <c r="Y74" s="165" t="str">
        <f>IF(Table2[[#This Row],[Counter Number]]="","",Table1[[#This Row],[Engine Cylinder Displacement (L):]]&amp;" L")</f>
        <v/>
      </c>
      <c r="Z74" s="165" t="str">
        <f>IF(Table2[[#This Row],[Counter Number]]="","",Table1[[#This Row],[Engine Number of Cylinders:]])</f>
        <v/>
      </c>
      <c r="AA74" s="166" t="str">
        <f>IF(Table2[[#This Row],[Counter Number]]="","",Table1[[#This Row],[Engine Family Name:]])</f>
        <v/>
      </c>
      <c r="AB74" s="60" t="str">
        <f>IF(Table2[[#This Row],[Counter Number]]="","","ULSD")</f>
        <v/>
      </c>
      <c r="AC74" s="167" t="str">
        <f>IF(Table2[[#This Row],[Counter Number]]="","",Table2[[#This Row],[Annual Miles Traveled:]]/Table1[[#This Row],[Old Fuel (mpg)]])</f>
        <v/>
      </c>
      <c r="AD74" s="60" t="str">
        <f>IF(Table2[[#This Row],[Counter Number]]="","","NA")</f>
        <v/>
      </c>
      <c r="AE74" s="168" t="str">
        <f>IF(Table2[[#This Row],[Counter Number]]="","",Table1[[#This Row],[Annual Miles Traveled]])</f>
        <v/>
      </c>
      <c r="AF74" s="169" t="str">
        <f>IF(Table2[[#This Row],[Counter Number]]="","",Table1[[#This Row],[Annual Idling Hours:]])</f>
        <v/>
      </c>
      <c r="AG74" s="60" t="str">
        <f>IF(Table2[[#This Row],[Counter Number]]="","","NA")</f>
        <v/>
      </c>
      <c r="AH74" s="165" t="str">
        <f>IF(Table2[[#This Row],[Counter Number]]="","",IF(Application!$J$25="Set Policy",Table1[[#This Row],[Remaining Life (years)         Set Policy]],Table1[[#This Row],[Remaining Life (years)               Case-by-Case]]))</f>
        <v/>
      </c>
      <c r="AI74" s="165" t="str">
        <f>IF(Table2[[#This Row],[Counter Number]]="","",IF(Application!$J$25="Case-by-Case","NA",Table2[[#This Row],[Fiscal Year of EPA Funds Used:]]+Table2[[#This Row],[Remaining Life:]]))</f>
        <v/>
      </c>
      <c r="AJ74" s="165"/>
      <c r="AK74" s="170" t="str">
        <f>IF(Table2[[#This Row],[Counter Number]]="","",Application!$D$14+1)</f>
        <v/>
      </c>
      <c r="AL74" s="60" t="str">
        <f>IF(Table2[[#This Row],[Counter Number]]="","","Vehicle Replacement")</f>
        <v/>
      </c>
      <c r="AM7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4" s="171" t="str">
        <f>IF(Table2[[#This Row],[Counter Number]]="","",Table1[[#This Row],[Cost of New Bus:]])</f>
        <v/>
      </c>
      <c r="AO74" s="60" t="str">
        <f>IF(Table2[[#This Row],[Counter Number]]="","","NA")</f>
        <v/>
      </c>
      <c r="AP74" s="165" t="str">
        <f>IF(Table2[[#This Row],[Counter Number]]="","",Table1[[#This Row],[New Engine Model Year:]])</f>
        <v/>
      </c>
      <c r="AQ74" s="60" t="str">
        <f>IF(Table2[[#This Row],[Counter Number]]="","","NA")</f>
        <v/>
      </c>
      <c r="AR74" s="165" t="str">
        <f>IF(Table2[[#This Row],[Counter Number]]="","",Table1[[#This Row],[New Engine Horsepower (HP):]])</f>
        <v/>
      </c>
      <c r="AS74" s="60" t="str">
        <f>IF(Table2[[#This Row],[Counter Number]]="","","NA")</f>
        <v/>
      </c>
      <c r="AT74" s="165" t="str">
        <f>IF(Table2[[#This Row],[Counter Number]]="","",Table1[[#This Row],[New Engine Cylinder Displacement (L):]]&amp;" L")</f>
        <v/>
      </c>
      <c r="AU74" s="114" t="str">
        <f>IF(Table2[[#This Row],[Counter Number]]="","",Table1[[#This Row],[New Engine Number of Cylinders:]])</f>
        <v/>
      </c>
      <c r="AV74" s="60" t="str">
        <f>IF(Table2[[#This Row],[Counter Number]]="","",Table1[[#This Row],[New Engine Family Name:]])</f>
        <v/>
      </c>
      <c r="AW7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4" s="60" t="str">
        <f>IF(Table2[[#This Row],[Counter Number]]="","","NA")</f>
        <v/>
      </c>
      <c r="AY74" s="172" t="str">
        <f>IF(Table2[[#This Row],[Counter Number]]="","",IF(Table2[[#This Row],[New Engine Fuel Type:]]="ULSD",Table1[[#This Row],[Annual Miles Traveled]]/Table1[[#This Row],[New Fuel (mpg) if Diesel]],""))</f>
        <v/>
      </c>
      <c r="AZ74" s="60"/>
      <c r="BA74" s="173" t="str">
        <f>IF(Table2[[#This Row],[Counter Number]]="","",Table2[[#This Row],[Annual Miles Traveled:]]*VLOOKUP(Table2[[#This Row],[Engine Model Year:]],EFTable[],3,FALSE))</f>
        <v/>
      </c>
      <c r="BB74" s="173" t="str">
        <f>IF(Table2[[#This Row],[Counter Number]]="","",Table2[[#This Row],[Annual Miles Traveled:]]*IF(Table2[[#This Row],[New Engine Fuel Type:]]="ULSD",VLOOKUP(Table2[[#This Row],[New Engine Model Year:]],EFTable[],3,FALSE),VLOOKUP(Table2[[#This Row],[New Engine Fuel Type:]],EFTable[],3,FALSE)))</f>
        <v/>
      </c>
      <c r="BC74" s="187" t="str">
        <f>IF(Table2[[#This Row],[Counter Number]]="","",Table2[[#This Row],[Old Bus NOx Emissions (tons/yr)]]-Table2[[#This Row],[New Bus NOx Emissions (tons/yr)]])</f>
        <v/>
      </c>
      <c r="BD74" s="188" t="str">
        <f>IF(Table2[[#This Row],[Counter Number]]="","",Table2[[#This Row],[Reduction Bus NOx Emissions (tons/yr)]]/Table2[[#This Row],[Old Bus NOx Emissions (tons/yr)]])</f>
        <v/>
      </c>
      <c r="BE74" s="175" t="str">
        <f>IF(Table2[[#This Row],[Counter Number]]="","",Table2[[#This Row],[Reduction Bus NOx Emissions (tons/yr)]]*Table2[[#This Row],[Remaining Life:]])</f>
        <v/>
      </c>
      <c r="BF74" s="189" t="str">
        <f>IF(Table2[[#This Row],[Counter Number]]="","",IF(Table2[[#This Row],[Lifetime NOx Reduction (tons)]]=0,"NA",Table2[[#This Row],[Upgrade Cost Per Unit]]/Table2[[#This Row],[Lifetime NOx Reduction (tons)]]))</f>
        <v/>
      </c>
      <c r="BG74" s="190" t="str">
        <f>IF(Table2[[#This Row],[Counter Number]]="","",Table2[[#This Row],[Annual Miles Traveled:]]*VLOOKUP(Table2[[#This Row],[Engine Model Year:]],EF!$A$2:$G$27,4,FALSE))</f>
        <v/>
      </c>
      <c r="BH74" s="173" t="str">
        <f>IF(Table2[[#This Row],[Counter Number]]="","",Table2[[#This Row],[Annual Miles Traveled:]]*IF(Table2[[#This Row],[New Engine Fuel Type:]]="ULSD",VLOOKUP(Table2[[#This Row],[New Engine Model Year:]],EFTable[],4,FALSE),VLOOKUP(Table2[[#This Row],[New Engine Fuel Type:]],EFTable[],4,FALSE)))</f>
        <v/>
      </c>
      <c r="BI74" s="191" t="str">
        <f>IF(Table2[[#This Row],[Counter Number]]="","",Table2[[#This Row],[Old Bus PM2.5 Emissions (tons/yr)]]-Table2[[#This Row],[New Bus PM2.5 Emissions (tons/yr)]])</f>
        <v/>
      </c>
      <c r="BJ74" s="192" t="str">
        <f>IF(Table2[[#This Row],[Counter Number]]="","",Table2[[#This Row],[Reduction Bus PM2.5 Emissions (tons/yr)]]/Table2[[#This Row],[Old Bus PM2.5 Emissions (tons/yr)]])</f>
        <v/>
      </c>
      <c r="BK74" s="193" t="str">
        <f>IF(Table2[[#This Row],[Counter Number]]="","",Table2[[#This Row],[Reduction Bus PM2.5 Emissions (tons/yr)]]*Table2[[#This Row],[Remaining Life:]])</f>
        <v/>
      </c>
      <c r="BL74" s="194" t="str">
        <f>IF(Table2[[#This Row],[Counter Number]]="","",IF(Table2[[#This Row],[Lifetime PM2.5 Reduction (tons)]]=0,"NA",Table2[[#This Row],[Upgrade Cost Per Unit]]/Table2[[#This Row],[Lifetime PM2.5 Reduction (tons)]]))</f>
        <v/>
      </c>
      <c r="BM74" s="179" t="str">
        <f>IF(Table2[[#This Row],[Counter Number]]="","",Table2[[#This Row],[Annual Miles Traveled:]]*VLOOKUP(Table2[[#This Row],[Engine Model Year:]],EF!$A$2:$G$40,5,FALSE))</f>
        <v/>
      </c>
      <c r="BN74" s="173" t="str">
        <f>IF(Table2[[#This Row],[Counter Number]]="","",Table2[[#This Row],[Annual Miles Traveled:]]*IF(Table2[[#This Row],[New Engine Fuel Type:]]="ULSD",VLOOKUP(Table2[[#This Row],[New Engine Model Year:]],EFTable[],5,FALSE),VLOOKUP(Table2[[#This Row],[New Engine Fuel Type:]],EFTable[],5,FALSE)))</f>
        <v/>
      </c>
      <c r="BO74" s="190" t="str">
        <f>IF(Table2[[#This Row],[Counter Number]]="","",Table2[[#This Row],[Old Bus HC Emissions (tons/yr)]]-Table2[[#This Row],[New Bus HC Emissions (tons/yr)]])</f>
        <v/>
      </c>
      <c r="BP74" s="188" t="str">
        <f>IF(Table2[[#This Row],[Counter Number]]="","",Table2[[#This Row],[Reduction Bus HC Emissions (tons/yr)]]/Table2[[#This Row],[Old Bus HC Emissions (tons/yr)]])</f>
        <v/>
      </c>
      <c r="BQ74" s="193" t="str">
        <f>IF(Table2[[#This Row],[Counter Number]]="","",Table2[[#This Row],[Reduction Bus HC Emissions (tons/yr)]]*Table2[[#This Row],[Remaining Life:]])</f>
        <v/>
      </c>
      <c r="BR74" s="194" t="str">
        <f>IF(Table2[[#This Row],[Counter Number]]="","",IF(Table2[[#This Row],[Lifetime HC Reduction (tons)]]=0,"NA",Table2[[#This Row],[Upgrade Cost Per Unit]]/Table2[[#This Row],[Lifetime HC Reduction (tons)]]))</f>
        <v/>
      </c>
      <c r="BS74" s="191" t="str">
        <f>IF(Table2[[#This Row],[Counter Number]]="","",Table2[[#This Row],[Annual Miles Traveled:]]*VLOOKUP(Table2[[#This Row],[Engine Model Year:]],EF!$A$2:$G$27,6,FALSE))</f>
        <v/>
      </c>
      <c r="BT74" s="173" t="str">
        <f>IF(Table2[[#This Row],[Counter Number]]="","",Table2[[#This Row],[Annual Miles Traveled:]]*IF(Table2[[#This Row],[New Engine Fuel Type:]]="ULSD",VLOOKUP(Table2[[#This Row],[New Engine Model Year:]],EFTable[],6,FALSE),VLOOKUP(Table2[[#This Row],[New Engine Fuel Type:]],EFTable[],6,FALSE)))</f>
        <v/>
      </c>
      <c r="BU74" s="190" t="str">
        <f>IF(Table2[[#This Row],[Counter Number]]="","",Table2[[#This Row],[Old Bus CO Emissions (tons/yr)]]-Table2[[#This Row],[New Bus CO Emissions (tons/yr)]])</f>
        <v/>
      </c>
      <c r="BV74" s="188" t="str">
        <f>IF(Table2[[#This Row],[Counter Number]]="","",Table2[[#This Row],[Reduction Bus CO Emissions (tons/yr)]]/Table2[[#This Row],[Old Bus CO Emissions (tons/yr)]])</f>
        <v/>
      </c>
      <c r="BW74" s="193" t="str">
        <f>IF(Table2[[#This Row],[Counter Number]]="","",Table2[[#This Row],[Reduction Bus CO Emissions (tons/yr)]]*Table2[[#This Row],[Remaining Life:]])</f>
        <v/>
      </c>
      <c r="BX74" s="194" t="str">
        <f>IF(Table2[[#This Row],[Counter Number]]="","",IF(Table2[[#This Row],[Lifetime CO Reduction (tons)]]=0,"NA",Table2[[#This Row],[Upgrade Cost Per Unit]]/Table2[[#This Row],[Lifetime CO Reduction (tons)]]))</f>
        <v/>
      </c>
      <c r="BY74" s="180" t="str">
        <f>IF(Table2[[#This Row],[Counter Number]]="","",Table2[[#This Row],[Old ULSD Used (gal):]]*VLOOKUP(Table2[[#This Row],[Engine Model Year:]],EF!$A$2:$G$27,7,FALSE))</f>
        <v/>
      </c>
      <c r="BZ7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4" s="195" t="str">
        <f>IF(Table2[[#This Row],[Counter Number]]="","",Table2[[#This Row],[Old Bus CO2 Emissions (tons/yr)]]-Table2[[#This Row],[New Bus CO2 Emissions (tons/yr)]])</f>
        <v/>
      </c>
      <c r="CB74" s="188" t="str">
        <f>IF(Table2[[#This Row],[Counter Number]]="","",Table2[[#This Row],[Reduction Bus CO2 Emissions (tons/yr)]]/Table2[[#This Row],[Old Bus CO2 Emissions (tons/yr)]])</f>
        <v/>
      </c>
      <c r="CC74" s="195" t="str">
        <f>IF(Table2[[#This Row],[Counter Number]]="","",Table2[[#This Row],[Reduction Bus CO2 Emissions (tons/yr)]]*Table2[[#This Row],[Remaining Life:]])</f>
        <v/>
      </c>
      <c r="CD74" s="194" t="str">
        <f>IF(Table2[[#This Row],[Counter Number]]="","",IF(Table2[[#This Row],[Lifetime CO2 Reduction (tons)]]=0,"NA",Table2[[#This Row],[Upgrade Cost Per Unit]]/Table2[[#This Row],[Lifetime CO2 Reduction (tons)]]))</f>
        <v/>
      </c>
      <c r="CE74" s="182" t="str">
        <f>IF(Table2[[#This Row],[Counter Number]]="","",IF(Table2[[#This Row],[New ULSD Used (gal):]]="",Table2[[#This Row],[Old ULSD Used (gal):]],Table2[[#This Row],[Old ULSD Used (gal):]]-Table2[[#This Row],[New ULSD Used (gal):]]))</f>
        <v/>
      </c>
      <c r="CF74" s="196" t="str">
        <f>IF(Table2[[#This Row],[Counter Number]]="","",Table2[[#This Row],[Diesel Fuel Reduction (gal/yr)]]/Table2[[#This Row],[Old ULSD Used (gal):]])</f>
        <v/>
      </c>
      <c r="CG74" s="197" t="str">
        <f>IF(Table2[[#This Row],[Counter Number]]="","",Table2[[#This Row],[Diesel Fuel Reduction (gal/yr)]]*Table2[[#This Row],[Remaining Life:]])</f>
        <v/>
      </c>
    </row>
    <row r="75" spans="1:85">
      <c r="A75" s="184" t="str">
        <f>IF(A74&lt;Application!$D$24,A74+1,"")</f>
        <v/>
      </c>
      <c r="B75" s="60" t="str">
        <f>IF(Table2[[#This Row],[Counter Number]]="","",Application!$D$16)</f>
        <v/>
      </c>
      <c r="C75" s="60" t="str">
        <f>IF(Table2[[#This Row],[Counter Number]]="","",Application!$D$14)</f>
        <v/>
      </c>
      <c r="D75" s="60" t="str">
        <f>IF(Table2[[#This Row],[Counter Number]]="","",Table1[[#This Row],[Old Bus Number]])</f>
        <v/>
      </c>
      <c r="E75" s="60" t="str">
        <f>IF(Table2[[#This Row],[Counter Number]]="","",Application!$D$15)</f>
        <v/>
      </c>
      <c r="F75" s="60" t="str">
        <f>IF(Table2[[#This Row],[Counter Number]]="","","On Highway")</f>
        <v/>
      </c>
      <c r="G75" s="60" t="str">
        <f>IF(Table2[[#This Row],[Counter Number]]="","",I75)</f>
        <v/>
      </c>
      <c r="H75" s="60" t="str">
        <f>IF(Table2[[#This Row],[Counter Number]]="","","Georgia")</f>
        <v/>
      </c>
      <c r="I75" s="60" t="str">
        <f>IF(Table2[[#This Row],[Counter Number]]="","",Application!$D$16)</f>
        <v/>
      </c>
      <c r="J75" s="60" t="str">
        <f>IF(Table2[[#This Row],[Counter Number]]="","",Application!$D$21)</f>
        <v/>
      </c>
      <c r="K75" s="60" t="str">
        <f>IF(Table2[[#This Row],[Counter Number]]="","",Application!$J$21)</f>
        <v/>
      </c>
      <c r="L75" s="60" t="str">
        <f>IF(Table2[[#This Row],[Counter Number]]="","","School Bus")</f>
        <v/>
      </c>
      <c r="M75" s="60" t="str">
        <f>IF(Table2[[#This Row],[Counter Number]]="","","School Bus")</f>
        <v/>
      </c>
      <c r="N75" s="60" t="str">
        <f>IF(Table2[[#This Row],[Counter Number]]="","",1)</f>
        <v/>
      </c>
      <c r="O75" s="60" t="str">
        <f>IF(Table2[[#This Row],[Counter Number]]="","",Table1[[#This Row],[Vehicle Identification Number(s):]])</f>
        <v/>
      </c>
      <c r="P75" s="60" t="str">
        <f>IF(Table2[[#This Row],[Counter Number]]="","",Table1[[#This Row],[Old Bus Manufacturer:]])</f>
        <v/>
      </c>
      <c r="Q75" s="60" t="str">
        <f>IF(Table2[[#This Row],[Counter Number]]="","",Table1[[#This Row],[Vehicle Model:]])</f>
        <v/>
      </c>
      <c r="R75" s="165" t="str">
        <f>IF(Table2[[#This Row],[Counter Number]]="","",Table1[[#This Row],[Vehicle Model Year:]])</f>
        <v/>
      </c>
      <c r="S75" s="60" t="str">
        <f>IF(Table2[[#This Row],[Counter Number]]="","",Table1[[#This Row],[Engine Serial Number(s):]])</f>
        <v/>
      </c>
      <c r="T75" s="60" t="str">
        <f>IF(Table2[[#This Row],[Counter Number]]="","",Table1[[#This Row],[Engine Make:]])</f>
        <v/>
      </c>
      <c r="U75" s="60" t="str">
        <f>IF(Table2[[#This Row],[Counter Number]]="","",Table1[[#This Row],[Engine Model:]])</f>
        <v/>
      </c>
      <c r="V75" s="165" t="str">
        <f>IF(Table2[[#This Row],[Counter Number]]="","",Table1[[#This Row],[Engine Model Year:]])</f>
        <v/>
      </c>
      <c r="W75" s="60" t="str">
        <f>IF(Table2[[#This Row],[Counter Number]]="","","NA")</f>
        <v/>
      </c>
      <c r="X75" s="165" t="str">
        <f>IF(Table2[[#This Row],[Counter Number]]="","",Table1[[#This Row],[Engine Horsepower (HP):]])</f>
        <v/>
      </c>
      <c r="Y75" s="165" t="str">
        <f>IF(Table2[[#This Row],[Counter Number]]="","",Table1[[#This Row],[Engine Cylinder Displacement (L):]]&amp;" L")</f>
        <v/>
      </c>
      <c r="Z75" s="165" t="str">
        <f>IF(Table2[[#This Row],[Counter Number]]="","",Table1[[#This Row],[Engine Number of Cylinders:]])</f>
        <v/>
      </c>
      <c r="AA75" s="166" t="str">
        <f>IF(Table2[[#This Row],[Counter Number]]="","",Table1[[#This Row],[Engine Family Name:]])</f>
        <v/>
      </c>
      <c r="AB75" s="60" t="str">
        <f>IF(Table2[[#This Row],[Counter Number]]="","","ULSD")</f>
        <v/>
      </c>
      <c r="AC75" s="167" t="str">
        <f>IF(Table2[[#This Row],[Counter Number]]="","",Table2[[#This Row],[Annual Miles Traveled:]]/Table1[[#This Row],[Old Fuel (mpg)]])</f>
        <v/>
      </c>
      <c r="AD75" s="60" t="str">
        <f>IF(Table2[[#This Row],[Counter Number]]="","","NA")</f>
        <v/>
      </c>
      <c r="AE75" s="168" t="str">
        <f>IF(Table2[[#This Row],[Counter Number]]="","",Table1[[#This Row],[Annual Miles Traveled]])</f>
        <v/>
      </c>
      <c r="AF75" s="169" t="str">
        <f>IF(Table2[[#This Row],[Counter Number]]="","",Table1[[#This Row],[Annual Idling Hours:]])</f>
        <v/>
      </c>
      <c r="AG75" s="60" t="str">
        <f>IF(Table2[[#This Row],[Counter Number]]="","","NA")</f>
        <v/>
      </c>
      <c r="AH75" s="165" t="str">
        <f>IF(Table2[[#This Row],[Counter Number]]="","",IF(Application!$J$25="Set Policy",Table1[[#This Row],[Remaining Life (years)         Set Policy]],Table1[[#This Row],[Remaining Life (years)               Case-by-Case]]))</f>
        <v/>
      </c>
      <c r="AI75" s="165" t="str">
        <f>IF(Table2[[#This Row],[Counter Number]]="","",IF(Application!$J$25="Case-by-Case","NA",Table2[[#This Row],[Fiscal Year of EPA Funds Used:]]+Table2[[#This Row],[Remaining Life:]]))</f>
        <v/>
      </c>
      <c r="AJ75" s="165"/>
      <c r="AK75" s="170" t="str">
        <f>IF(Table2[[#This Row],[Counter Number]]="","",Application!$D$14+1)</f>
        <v/>
      </c>
      <c r="AL75" s="60" t="str">
        <f>IF(Table2[[#This Row],[Counter Number]]="","","Vehicle Replacement")</f>
        <v/>
      </c>
      <c r="AM7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5" s="171" t="str">
        <f>IF(Table2[[#This Row],[Counter Number]]="","",Table1[[#This Row],[Cost of New Bus:]])</f>
        <v/>
      </c>
      <c r="AO75" s="60" t="str">
        <f>IF(Table2[[#This Row],[Counter Number]]="","","NA")</f>
        <v/>
      </c>
      <c r="AP75" s="165" t="str">
        <f>IF(Table2[[#This Row],[Counter Number]]="","",Table1[[#This Row],[New Engine Model Year:]])</f>
        <v/>
      </c>
      <c r="AQ75" s="60" t="str">
        <f>IF(Table2[[#This Row],[Counter Number]]="","","NA")</f>
        <v/>
      </c>
      <c r="AR75" s="165" t="str">
        <f>IF(Table2[[#This Row],[Counter Number]]="","",Table1[[#This Row],[New Engine Horsepower (HP):]])</f>
        <v/>
      </c>
      <c r="AS75" s="60" t="str">
        <f>IF(Table2[[#This Row],[Counter Number]]="","","NA")</f>
        <v/>
      </c>
      <c r="AT75" s="165" t="str">
        <f>IF(Table2[[#This Row],[Counter Number]]="","",Table1[[#This Row],[New Engine Cylinder Displacement (L):]]&amp;" L")</f>
        <v/>
      </c>
      <c r="AU75" s="114" t="str">
        <f>IF(Table2[[#This Row],[Counter Number]]="","",Table1[[#This Row],[New Engine Number of Cylinders:]])</f>
        <v/>
      </c>
      <c r="AV75" s="60" t="str">
        <f>IF(Table2[[#This Row],[Counter Number]]="","",Table1[[#This Row],[New Engine Family Name:]])</f>
        <v/>
      </c>
      <c r="AW7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5" s="60" t="str">
        <f>IF(Table2[[#This Row],[Counter Number]]="","","NA")</f>
        <v/>
      </c>
      <c r="AY75" s="172" t="str">
        <f>IF(Table2[[#This Row],[Counter Number]]="","",IF(Table2[[#This Row],[New Engine Fuel Type:]]="ULSD",Table1[[#This Row],[Annual Miles Traveled]]/Table1[[#This Row],[New Fuel (mpg) if Diesel]],""))</f>
        <v/>
      </c>
      <c r="AZ75" s="60"/>
      <c r="BA75" s="173" t="str">
        <f>IF(Table2[[#This Row],[Counter Number]]="","",Table2[[#This Row],[Annual Miles Traveled:]]*VLOOKUP(Table2[[#This Row],[Engine Model Year:]],EFTable[],3,FALSE))</f>
        <v/>
      </c>
      <c r="BB75" s="173" t="str">
        <f>IF(Table2[[#This Row],[Counter Number]]="","",Table2[[#This Row],[Annual Miles Traveled:]]*IF(Table2[[#This Row],[New Engine Fuel Type:]]="ULSD",VLOOKUP(Table2[[#This Row],[New Engine Model Year:]],EFTable[],3,FALSE),VLOOKUP(Table2[[#This Row],[New Engine Fuel Type:]],EFTable[],3,FALSE)))</f>
        <v/>
      </c>
      <c r="BC75" s="187" t="str">
        <f>IF(Table2[[#This Row],[Counter Number]]="","",Table2[[#This Row],[Old Bus NOx Emissions (tons/yr)]]-Table2[[#This Row],[New Bus NOx Emissions (tons/yr)]])</f>
        <v/>
      </c>
      <c r="BD75" s="188" t="str">
        <f>IF(Table2[[#This Row],[Counter Number]]="","",Table2[[#This Row],[Reduction Bus NOx Emissions (tons/yr)]]/Table2[[#This Row],[Old Bus NOx Emissions (tons/yr)]])</f>
        <v/>
      </c>
      <c r="BE75" s="175" t="str">
        <f>IF(Table2[[#This Row],[Counter Number]]="","",Table2[[#This Row],[Reduction Bus NOx Emissions (tons/yr)]]*Table2[[#This Row],[Remaining Life:]])</f>
        <v/>
      </c>
      <c r="BF75" s="189" t="str">
        <f>IF(Table2[[#This Row],[Counter Number]]="","",IF(Table2[[#This Row],[Lifetime NOx Reduction (tons)]]=0,"NA",Table2[[#This Row],[Upgrade Cost Per Unit]]/Table2[[#This Row],[Lifetime NOx Reduction (tons)]]))</f>
        <v/>
      </c>
      <c r="BG75" s="190" t="str">
        <f>IF(Table2[[#This Row],[Counter Number]]="","",Table2[[#This Row],[Annual Miles Traveled:]]*VLOOKUP(Table2[[#This Row],[Engine Model Year:]],EF!$A$2:$G$27,4,FALSE))</f>
        <v/>
      </c>
      <c r="BH75" s="173" t="str">
        <f>IF(Table2[[#This Row],[Counter Number]]="","",Table2[[#This Row],[Annual Miles Traveled:]]*IF(Table2[[#This Row],[New Engine Fuel Type:]]="ULSD",VLOOKUP(Table2[[#This Row],[New Engine Model Year:]],EFTable[],4,FALSE),VLOOKUP(Table2[[#This Row],[New Engine Fuel Type:]],EFTable[],4,FALSE)))</f>
        <v/>
      </c>
      <c r="BI75" s="191" t="str">
        <f>IF(Table2[[#This Row],[Counter Number]]="","",Table2[[#This Row],[Old Bus PM2.5 Emissions (tons/yr)]]-Table2[[#This Row],[New Bus PM2.5 Emissions (tons/yr)]])</f>
        <v/>
      </c>
      <c r="BJ75" s="192" t="str">
        <f>IF(Table2[[#This Row],[Counter Number]]="","",Table2[[#This Row],[Reduction Bus PM2.5 Emissions (tons/yr)]]/Table2[[#This Row],[Old Bus PM2.5 Emissions (tons/yr)]])</f>
        <v/>
      </c>
      <c r="BK75" s="193" t="str">
        <f>IF(Table2[[#This Row],[Counter Number]]="","",Table2[[#This Row],[Reduction Bus PM2.5 Emissions (tons/yr)]]*Table2[[#This Row],[Remaining Life:]])</f>
        <v/>
      </c>
      <c r="BL75" s="194" t="str">
        <f>IF(Table2[[#This Row],[Counter Number]]="","",IF(Table2[[#This Row],[Lifetime PM2.5 Reduction (tons)]]=0,"NA",Table2[[#This Row],[Upgrade Cost Per Unit]]/Table2[[#This Row],[Lifetime PM2.5 Reduction (tons)]]))</f>
        <v/>
      </c>
      <c r="BM75" s="179" t="str">
        <f>IF(Table2[[#This Row],[Counter Number]]="","",Table2[[#This Row],[Annual Miles Traveled:]]*VLOOKUP(Table2[[#This Row],[Engine Model Year:]],EF!$A$2:$G$40,5,FALSE))</f>
        <v/>
      </c>
      <c r="BN75" s="173" t="str">
        <f>IF(Table2[[#This Row],[Counter Number]]="","",Table2[[#This Row],[Annual Miles Traveled:]]*IF(Table2[[#This Row],[New Engine Fuel Type:]]="ULSD",VLOOKUP(Table2[[#This Row],[New Engine Model Year:]],EFTable[],5,FALSE),VLOOKUP(Table2[[#This Row],[New Engine Fuel Type:]],EFTable[],5,FALSE)))</f>
        <v/>
      </c>
      <c r="BO75" s="190" t="str">
        <f>IF(Table2[[#This Row],[Counter Number]]="","",Table2[[#This Row],[Old Bus HC Emissions (tons/yr)]]-Table2[[#This Row],[New Bus HC Emissions (tons/yr)]])</f>
        <v/>
      </c>
      <c r="BP75" s="188" t="str">
        <f>IF(Table2[[#This Row],[Counter Number]]="","",Table2[[#This Row],[Reduction Bus HC Emissions (tons/yr)]]/Table2[[#This Row],[Old Bus HC Emissions (tons/yr)]])</f>
        <v/>
      </c>
      <c r="BQ75" s="193" t="str">
        <f>IF(Table2[[#This Row],[Counter Number]]="","",Table2[[#This Row],[Reduction Bus HC Emissions (tons/yr)]]*Table2[[#This Row],[Remaining Life:]])</f>
        <v/>
      </c>
      <c r="BR75" s="194" t="str">
        <f>IF(Table2[[#This Row],[Counter Number]]="","",IF(Table2[[#This Row],[Lifetime HC Reduction (tons)]]=0,"NA",Table2[[#This Row],[Upgrade Cost Per Unit]]/Table2[[#This Row],[Lifetime HC Reduction (tons)]]))</f>
        <v/>
      </c>
      <c r="BS75" s="191" t="str">
        <f>IF(Table2[[#This Row],[Counter Number]]="","",Table2[[#This Row],[Annual Miles Traveled:]]*VLOOKUP(Table2[[#This Row],[Engine Model Year:]],EF!$A$2:$G$27,6,FALSE))</f>
        <v/>
      </c>
      <c r="BT75" s="173" t="str">
        <f>IF(Table2[[#This Row],[Counter Number]]="","",Table2[[#This Row],[Annual Miles Traveled:]]*IF(Table2[[#This Row],[New Engine Fuel Type:]]="ULSD",VLOOKUP(Table2[[#This Row],[New Engine Model Year:]],EFTable[],6,FALSE),VLOOKUP(Table2[[#This Row],[New Engine Fuel Type:]],EFTable[],6,FALSE)))</f>
        <v/>
      </c>
      <c r="BU75" s="190" t="str">
        <f>IF(Table2[[#This Row],[Counter Number]]="","",Table2[[#This Row],[Old Bus CO Emissions (tons/yr)]]-Table2[[#This Row],[New Bus CO Emissions (tons/yr)]])</f>
        <v/>
      </c>
      <c r="BV75" s="188" t="str">
        <f>IF(Table2[[#This Row],[Counter Number]]="","",Table2[[#This Row],[Reduction Bus CO Emissions (tons/yr)]]/Table2[[#This Row],[Old Bus CO Emissions (tons/yr)]])</f>
        <v/>
      </c>
      <c r="BW75" s="193" t="str">
        <f>IF(Table2[[#This Row],[Counter Number]]="","",Table2[[#This Row],[Reduction Bus CO Emissions (tons/yr)]]*Table2[[#This Row],[Remaining Life:]])</f>
        <v/>
      </c>
      <c r="BX75" s="194" t="str">
        <f>IF(Table2[[#This Row],[Counter Number]]="","",IF(Table2[[#This Row],[Lifetime CO Reduction (tons)]]=0,"NA",Table2[[#This Row],[Upgrade Cost Per Unit]]/Table2[[#This Row],[Lifetime CO Reduction (tons)]]))</f>
        <v/>
      </c>
      <c r="BY75" s="180" t="str">
        <f>IF(Table2[[#This Row],[Counter Number]]="","",Table2[[#This Row],[Old ULSD Used (gal):]]*VLOOKUP(Table2[[#This Row],[Engine Model Year:]],EF!$A$2:$G$27,7,FALSE))</f>
        <v/>
      </c>
      <c r="BZ7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5" s="195" t="str">
        <f>IF(Table2[[#This Row],[Counter Number]]="","",Table2[[#This Row],[Old Bus CO2 Emissions (tons/yr)]]-Table2[[#This Row],[New Bus CO2 Emissions (tons/yr)]])</f>
        <v/>
      </c>
      <c r="CB75" s="188" t="str">
        <f>IF(Table2[[#This Row],[Counter Number]]="","",Table2[[#This Row],[Reduction Bus CO2 Emissions (tons/yr)]]/Table2[[#This Row],[Old Bus CO2 Emissions (tons/yr)]])</f>
        <v/>
      </c>
      <c r="CC75" s="195" t="str">
        <f>IF(Table2[[#This Row],[Counter Number]]="","",Table2[[#This Row],[Reduction Bus CO2 Emissions (tons/yr)]]*Table2[[#This Row],[Remaining Life:]])</f>
        <v/>
      </c>
      <c r="CD75" s="194" t="str">
        <f>IF(Table2[[#This Row],[Counter Number]]="","",IF(Table2[[#This Row],[Lifetime CO2 Reduction (tons)]]=0,"NA",Table2[[#This Row],[Upgrade Cost Per Unit]]/Table2[[#This Row],[Lifetime CO2 Reduction (tons)]]))</f>
        <v/>
      </c>
      <c r="CE75" s="182" t="str">
        <f>IF(Table2[[#This Row],[Counter Number]]="","",IF(Table2[[#This Row],[New ULSD Used (gal):]]="",Table2[[#This Row],[Old ULSD Used (gal):]],Table2[[#This Row],[Old ULSD Used (gal):]]-Table2[[#This Row],[New ULSD Used (gal):]]))</f>
        <v/>
      </c>
      <c r="CF75" s="196" t="str">
        <f>IF(Table2[[#This Row],[Counter Number]]="","",Table2[[#This Row],[Diesel Fuel Reduction (gal/yr)]]/Table2[[#This Row],[Old ULSD Used (gal):]])</f>
        <v/>
      </c>
      <c r="CG75" s="197" t="str">
        <f>IF(Table2[[#This Row],[Counter Number]]="","",Table2[[#This Row],[Diesel Fuel Reduction (gal/yr)]]*Table2[[#This Row],[Remaining Life:]])</f>
        <v/>
      </c>
    </row>
    <row r="76" spans="1:85">
      <c r="A76" s="184" t="str">
        <f>IF(A75&lt;Application!$D$24,A75+1,"")</f>
        <v/>
      </c>
      <c r="B76" s="60" t="str">
        <f>IF(Table2[[#This Row],[Counter Number]]="","",Application!$D$16)</f>
        <v/>
      </c>
      <c r="C76" s="60" t="str">
        <f>IF(Table2[[#This Row],[Counter Number]]="","",Application!$D$14)</f>
        <v/>
      </c>
      <c r="D76" s="60" t="str">
        <f>IF(Table2[[#This Row],[Counter Number]]="","",Table1[[#This Row],[Old Bus Number]])</f>
        <v/>
      </c>
      <c r="E76" s="60" t="str">
        <f>IF(Table2[[#This Row],[Counter Number]]="","",Application!$D$15)</f>
        <v/>
      </c>
      <c r="F76" s="60" t="str">
        <f>IF(Table2[[#This Row],[Counter Number]]="","","On Highway")</f>
        <v/>
      </c>
      <c r="G76" s="60" t="str">
        <f>IF(Table2[[#This Row],[Counter Number]]="","",I76)</f>
        <v/>
      </c>
      <c r="H76" s="60" t="str">
        <f>IF(Table2[[#This Row],[Counter Number]]="","","Georgia")</f>
        <v/>
      </c>
      <c r="I76" s="60" t="str">
        <f>IF(Table2[[#This Row],[Counter Number]]="","",Application!$D$16)</f>
        <v/>
      </c>
      <c r="J76" s="60" t="str">
        <f>IF(Table2[[#This Row],[Counter Number]]="","",Application!$D$21)</f>
        <v/>
      </c>
      <c r="K76" s="60" t="str">
        <f>IF(Table2[[#This Row],[Counter Number]]="","",Application!$J$21)</f>
        <v/>
      </c>
      <c r="L76" s="60" t="str">
        <f>IF(Table2[[#This Row],[Counter Number]]="","","School Bus")</f>
        <v/>
      </c>
      <c r="M76" s="60" t="str">
        <f>IF(Table2[[#This Row],[Counter Number]]="","","School Bus")</f>
        <v/>
      </c>
      <c r="N76" s="60" t="str">
        <f>IF(Table2[[#This Row],[Counter Number]]="","",1)</f>
        <v/>
      </c>
      <c r="O76" s="60" t="str">
        <f>IF(Table2[[#This Row],[Counter Number]]="","",Table1[[#This Row],[Vehicle Identification Number(s):]])</f>
        <v/>
      </c>
      <c r="P76" s="60" t="str">
        <f>IF(Table2[[#This Row],[Counter Number]]="","",Table1[[#This Row],[Old Bus Manufacturer:]])</f>
        <v/>
      </c>
      <c r="Q76" s="60" t="str">
        <f>IF(Table2[[#This Row],[Counter Number]]="","",Table1[[#This Row],[Vehicle Model:]])</f>
        <v/>
      </c>
      <c r="R76" s="165" t="str">
        <f>IF(Table2[[#This Row],[Counter Number]]="","",Table1[[#This Row],[Vehicle Model Year:]])</f>
        <v/>
      </c>
      <c r="S76" s="60" t="str">
        <f>IF(Table2[[#This Row],[Counter Number]]="","",Table1[[#This Row],[Engine Serial Number(s):]])</f>
        <v/>
      </c>
      <c r="T76" s="60" t="str">
        <f>IF(Table2[[#This Row],[Counter Number]]="","",Table1[[#This Row],[Engine Make:]])</f>
        <v/>
      </c>
      <c r="U76" s="60" t="str">
        <f>IF(Table2[[#This Row],[Counter Number]]="","",Table1[[#This Row],[Engine Model:]])</f>
        <v/>
      </c>
      <c r="V76" s="165" t="str">
        <f>IF(Table2[[#This Row],[Counter Number]]="","",Table1[[#This Row],[Engine Model Year:]])</f>
        <v/>
      </c>
      <c r="W76" s="60" t="str">
        <f>IF(Table2[[#This Row],[Counter Number]]="","","NA")</f>
        <v/>
      </c>
      <c r="X76" s="165" t="str">
        <f>IF(Table2[[#This Row],[Counter Number]]="","",Table1[[#This Row],[Engine Horsepower (HP):]])</f>
        <v/>
      </c>
      <c r="Y76" s="165" t="str">
        <f>IF(Table2[[#This Row],[Counter Number]]="","",Table1[[#This Row],[Engine Cylinder Displacement (L):]]&amp;" L")</f>
        <v/>
      </c>
      <c r="Z76" s="165" t="str">
        <f>IF(Table2[[#This Row],[Counter Number]]="","",Table1[[#This Row],[Engine Number of Cylinders:]])</f>
        <v/>
      </c>
      <c r="AA76" s="166" t="str">
        <f>IF(Table2[[#This Row],[Counter Number]]="","",Table1[[#This Row],[Engine Family Name:]])</f>
        <v/>
      </c>
      <c r="AB76" s="60" t="str">
        <f>IF(Table2[[#This Row],[Counter Number]]="","","ULSD")</f>
        <v/>
      </c>
      <c r="AC76" s="167" t="str">
        <f>IF(Table2[[#This Row],[Counter Number]]="","",Table2[[#This Row],[Annual Miles Traveled:]]/Table1[[#This Row],[Old Fuel (mpg)]])</f>
        <v/>
      </c>
      <c r="AD76" s="60" t="str">
        <f>IF(Table2[[#This Row],[Counter Number]]="","","NA")</f>
        <v/>
      </c>
      <c r="AE76" s="168" t="str">
        <f>IF(Table2[[#This Row],[Counter Number]]="","",Table1[[#This Row],[Annual Miles Traveled]])</f>
        <v/>
      </c>
      <c r="AF76" s="169" t="str">
        <f>IF(Table2[[#This Row],[Counter Number]]="","",Table1[[#This Row],[Annual Idling Hours:]])</f>
        <v/>
      </c>
      <c r="AG76" s="60" t="str">
        <f>IF(Table2[[#This Row],[Counter Number]]="","","NA")</f>
        <v/>
      </c>
      <c r="AH76" s="165" t="str">
        <f>IF(Table2[[#This Row],[Counter Number]]="","",IF(Application!$J$25="Set Policy",Table1[[#This Row],[Remaining Life (years)         Set Policy]],Table1[[#This Row],[Remaining Life (years)               Case-by-Case]]))</f>
        <v/>
      </c>
      <c r="AI76" s="165" t="str">
        <f>IF(Table2[[#This Row],[Counter Number]]="","",IF(Application!$J$25="Case-by-Case","NA",Table2[[#This Row],[Fiscal Year of EPA Funds Used:]]+Table2[[#This Row],[Remaining Life:]]))</f>
        <v/>
      </c>
      <c r="AJ76" s="165"/>
      <c r="AK76" s="170" t="str">
        <f>IF(Table2[[#This Row],[Counter Number]]="","",Application!$D$14+1)</f>
        <v/>
      </c>
      <c r="AL76" s="60" t="str">
        <f>IF(Table2[[#This Row],[Counter Number]]="","","Vehicle Replacement")</f>
        <v/>
      </c>
      <c r="AM7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6" s="171" t="str">
        <f>IF(Table2[[#This Row],[Counter Number]]="","",Table1[[#This Row],[Cost of New Bus:]])</f>
        <v/>
      </c>
      <c r="AO76" s="60" t="str">
        <f>IF(Table2[[#This Row],[Counter Number]]="","","NA")</f>
        <v/>
      </c>
      <c r="AP76" s="165" t="str">
        <f>IF(Table2[[#This Row],[Counter Number]]="","",Table1[[#This Row],[New Engine Model Year:]])</f>
        <v/>
      </c>
      <c r="AQ76" s="60" t="str">
        <f>IF(Table2[[#This Row],[Counter Number]]="","","NA")</f>
        <v/>
      </c>
      <c r="AR76" s="165" t="str">
        <f>IF(Table2[[#This Row],[Counter Number]]="","",Table1[[#This Row],[New Engine Horsepower (HP):]])</f>
        <v/>
      </c>
      <c r="AS76" s="60" t="str">
        <f>IF(Table2[[#This Row],[Counter Number]]="","","NA")</f>
        <v/>
      </c>
      <c r="AT76" s="165" t="str">
        <f>IF(Table2[[#This Row],[Counter Number]]="","",Table1[[#This Row],[New Engine Cylinder Displacement (L):]]&amp;" L")</f>
        <v/>
      </c>
      <c r="AU76" s="114" t="str">
        <f>IF(Table2[[#This Row],[Counter Number]]="","",Table1[[#This Row],[New Engine Number of Cylinders:]])</f>
        <v/>
      </c>
      <c r="AV76" s="60" t="str">
        <f>IF(Table2[[#This Row],[Counter Number]]="","",Table1[[#This Row],[New Engine Family Name:]])</f>
        <v/>
      </c>
      <c r="AW7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6" s="60" t="str">
        <f>IF(Table2[[#This Row],[Counter Number]]="","","NA")</f>
        <v/>
      </c>
      <c r="AY76" s="172" t="str">
        <f>IF(Table2[[#This Row],[Counter Number]]="","",IF(Table2[[#This Row],[New Engine Fuel Type:]]="ULSD",Table1[[#This Row],[Annual Miles Traveled]]/Table1[[#This Row],[New Fuel (mpg) if Diesel]],""))</f>
        <v/>
      </c>
      <c r="AZ76" s="60"/>
      <c r="BA76" s="173" t="str">
        <f>IF(Table2[[#This Row],[Counter Number]]="","",Table2[[#This Row],[Annual Miles Traveled:]]*VLOOKUP(Table2[[#This Row],[Engine Model Year:]],EFTable[],3,FALSE))</f>
        <v/>
      </c>
      <c r="BB76" s="173" t="str">
        <f>IF(Table2[[#This Row],[Counter Number]]="","",Table2[[#This Row],[Annual Miles Traveled:]]*IF(Table2[[#This Row],[New Engine Fuel Type:]]="ULSD",VLOOKUP(Table2[[#This Row],[New Engine Model Year:]],EFTable[],3,FALSE),VLOOKUP(Table2[[#This Row],[New Engine Fuel Type:]],EFTable[],3,FALSE)))</f>
        <v/>
      </c>
      <c r="BC76" s="187" t="str">
        <f>IF(Table2[[#This Row],[Counter Number]]="","",Table2[[#This Row],[Old Bus NOx Emissions (tons/yr)]]-Table2[[#This Row],[New Bus NOx Emissions (tons/yr)]])</f>
        <v/>
      </c>
      <c r="BD76" s="188" t="str">
        <f>IF(Table2[[#This Row],[Counter Number]]="","",Table2[[#This Row],[Reduction Bus NOx Emissions (tons/yr)]]/Table2[[#This Row],[Old Bus NOx Emissions (tons/yr)]])</f>
        <v/>
      </c>
      <c r="BE76" s="175" t="str">
        <f>IF(Table2[[#This Row],[Counter Number]]="","",Table2[[#This Row],[Reduction Bus NOx Emissions (tons/yr)]]*Table2[[#This Row],[Remaining Life:]])</f>
        <v/>
      </c>
      <c r="BF76" s="189" t="str">
        <f>IF(Table2[[#This Row],[Counter Number]]="","",IF(Table2[[#This Row],[Lifetime NOx Reduction (tons)]]=0,"NA",Table2[[#This Row],[Upgrade Cost Per Unit]]/Table2[[#This Row],[Lifetime NOx Reduction (tons)]]))</f>
        <v/>
      </c>
      <c r="BG76" s="190" t="str">
        <f>IF(Table2[[#This Row],[Counter Number]]="","",Table2[[#This Row],[Annual Miles Traveled:]]*VLOOKUP(Table2[[#This Row],[Engine Model Year:]],EF!$A$2:$G$27,4,FALSE))</f>
        <v/>
      </c>
      <c r="BH76" s="173" t="str">
        <f>IF(Table2[[#This Row],[Counter Number]]="","",Table2[[#This Row],[Annual Miles Traveled:]]*IF(Table2[[#This Row],[New Engine Fuel Type:]]="ULSD",VLOOKUP(Table2[[#This Row],[New Engine Model Year:]],EFTable[],4,FALSE),VLOOKUP(Table2[[#This Row],[New Engine Fuel Type:]],EFTable[],4,FALSE)))</f>
        <v/>
      </c>
      <c r="BI76" s="191" t="str">
        <f>IF(Table2[[#This Row],[Counter Number]]="","",Table2[[#This Row],[Old Bus PM2.5 Emissions (tons/yr)]]-Table2[[#This Row],[New Bus PM2.5 Emissions (tons/yr)]])</f>
        <v/>
      </c>
      <c r="BJ76" s="192" t="str">
        <f>IF(Table2[[#This Row],[Counter Number]]="","",Table2[[#This Row],[Reduction Bus PM2.5 Emissions (tons/yr)]]/Table2[[#This Row],[Old Bus PM2.5 Emissions (tons/yr)]])</f>
        <v/>
      </c>
      <c r="BK76" s="193" t="str">
        <f>IF(Table2[[#This Row],[Counter Number]]="","",Table2[[#This Row],[Reduction Bus PM2.5 Emissions (tons/yr)]]*Table2[[#This Row],[Remaining Life:]])</f>
        <v/>
      </c>
      <c r="BL76" s="194" t="str">
        <f>IF(Table2[[#This Row],[Counter Number]]="","",IF(Table2[[#This Row],[Lifetime PM2.5 Reduction (tons)]]=0,"NA",Table2[[#This Row],[Upgrade Cost Per Unit]]/Table2[[#This Row],[Lifetime PM2.5 Reduction (tons)]]))</f>
        <v/>
      </c>
      <c r="BM76" s="179" t="str">
        <f>IF(Table2[[#This Row],[Counter Number]]="","",Table2[[#This Row],[Annual Miles Traveled:]]*VLOOKUP(Table2[[#This Row],[Engine Model Year:]],EF!$A$2:$G$40,5,FALSE))</f>
        <v/>
      </c>
      <c r="BN76" s="173" t="str">
        <f>IF(Table2[[#This Row],[Counter Number]]="","",Table2[[#This Row],[Annual Miles Traveled:]]*IF(Table2[[#This Row],[New Engine Fuel Type:]]="ULSD",VLOOKUP(Table2[[#This Row],[New Engine Model Year:]],EFTable[],5,FALSE),VLOOKUP(Table2[[#This Row],[New Engine Fuel Type:]],EFTable[],5,FALSE)))</f>
        <v/>
      </c>
      <c r="BO76" s="190" t="str">
        <f>IF(Table2[[#This Row],[Counter Number]]="","",Table2[[#This Row],[Old Bus HC Emissions (tons/yr)]]-Table2[[#This Row],[New Bus HC Emissions (tons/yr)]])</f>
        <v/>
      </c>
      <c r="BP76" s="188" t="str">
        <f>IF(Table2[[#This Row],[Counter Number]]="","",Table2[[#This Row],[Reduction Bus HC Emissions (tons/yr)]]/Table2[[#This Row],[Old Bus HC Emissions (tons/yr)]])</f>
        <v/>
      </c>
      <c r="BQ76" s="193" t="str">
        <f>IF(Table2[[#This Row],[Counter Number]]="","",Table2[[#This Row],[Reduction Bus HC Emissions (tons/yr)]]*Table2[[#This Row],[Remaining Life:]])</f>
        <v/>
      </c>
      <c r="BR76" s="194" t="str">
        <f>IF(Table2[[#This Row],[Counter Number]]="","",IF(Table2[[#This Row],[Lifetime HC Reduction (tons)]]=0,"NA",Table2[[#This Row],[Upgrade Cost Per Unit]]/Table2[[#This Row],[Lifetime HC Reduction (tons)]]))</f>
        <v/>
      </c>
      <c r="BS76" s="191" t="str">
        <f>IF(Table2[[#This Row],[Counter Number]]="","",Table2[[#This Row],[Annual Miles Traveled:]]*VLOOKUP(Table2[[#This Row],[Engine Model Year:]],EF!$A$2:$G$27,6,FALSE))</f>
        <v/>
      </c>
      <c r="BT76" s="173" t="str">
        <f>IF(Table2[[#This Row],[Counter Number]]="","",Table2[[#This Row],[Annual Miles Traveled:]]*IF(Table2[[#This Row],[New Engine Fuel Type:]]="ULSD",VLOOKUP(Table2[[#This Row],[New Engine Model Year:]],EFTable[],6,FALSE),VLOOKUP(Table2[[#This Row],[New Engine Fuel Type:]],EFTable[],6,FALSE)))</f>
        <v/>
      </c>
      <c r="BU76" s="190" t="str">
        <f>IF(Table2[[#This Row],[Counter Number]]="","",Table2[[#This Row],[Old Bus CO Emissions (tons/yr)]]-Table2[[#This Row],[New Bus CO Emissions (tons/yr)]])</f>
        <v/>
      </c>
      <c r="BV76" s="188" t="str">
        <f>IF(Table2[[#This Row],[Counter Number]]="","",Table2[[#This Row],[Reduction Bus CO Emissions (tons/yr)]]/Table2[[#This Row],[Old Bus CO Emissions (tons/yr)]])</f>
        <v/>
      </c>
      <c r="BW76" s="193" t="str">
        <f>IF(Table2[[#This Row],[Counter Number]]="","",Table2[[#This Row],[Reduction Bus CO Emissions (tons/yr)]]*Table2[[#This Row],[Remaining Life:]])</f>
        <v/>
      </c>
      <c r="BX76" s="194" t="str">
        <f>IF(Table2[[#This Row],[Counter Number]]="","",IF(Table2[[#This Row],[Lifetime CO Reduction (tons)]]=0,"NA",Table2[[#This Row],[Upgrade Cost Per Unit]]/Table2[[#This Row],[Lifetime CO Reduction (tons)]]))</f>
        <v/>
      </c>
      <c r="BY76" s="180" t="str">
        <f>IF(Table2[[#This Row],[Counter Number]]="","",Table2[[#This Row],[Old ULSD Used (gal):]]*VLOOKUP(Table2[[#This Row],[Engine Model Year:]],EF!$A$2:$G$27,7,FALSE))</f>
        <v/>
      </c>
      <c r="BZ7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6" s="195" t="str">
        <f>IF(Table2[[#This Row],[Counter Number]]="","",Table2[[#This Row],[Old Bus CO2 Emissions (tons/yr)]]-Table2[[#This Row],[New Bus CO2 Emissions (tons/yr)]])</f>
        <v/>
      </c>
      <c r="CB76" s="188" t="str">
        <f>IF(Table2[[#This Row],[Counter Number]]="","",Table2[[#This Row],[Reduction Bus CO2 Emissions (tons/yr)]]/Table2[[#This Row],[Old Bus CO2 Emissions (tons/yr)]])</f>
        <v/>
      </c>
      <c r="CC76" s="195" t="str">
        <f>IF(Table2[[#This Row],[Counter Number]]="","",Table2[[#This Row],[Reduction Bus CO2 Emissions (tons/yr)]]*Table2[[#This Row],[Remaining Life:]])</f>
        <v/>
      </c>
      <c r="CD76" s="194" t="str">
        <f>IF(Table2[[#This Row],[Counter Number]]="","",IF(Table2[[#This Row],[Lifetime CO2 Reduction (tons)]]=0,"NA",Table2[[#This Row],[Upgrade Cost Per Unit]]/Table2[[#This Row],[Lifetime CO2 Reduction (tons)]]))</f>
        <v/>
      </c>
      <c r="CE76" s="182" t="str">
        <f>IF(Table2[[#This Row],[Counter Number]]="","",IF(Table2[[#This Row],[New ULSD Used (gal):]]="",Table2[[#This Row],[Old ULSD Used (gal):]],Table2[[#This Row],[Old ULSD Used (gal):]]-Table2[[#This Row],[New ULSD Used (gal):]]))</f>
        <v/>
      </c>
      <c r="CF76" s="196" t="str">
        <f>IF(Table2[[#This Row],[Counter Number]]="","",Table2[[#This Row],[Diesel Fuel Reduction (gal/yr)]]/Table2[[#This Row],[Old ULSD Used (gal):]])</f>
        <v/>
      </c>
      <c r="CG76" s="197" t="str">
        <f>IF(Table2[[#This Row],[Counter Number]]="","",Table2[[#This Row],[Diesel Fuel Reduction (gal/yr)]]*Table2[[#This Row],[Remaining Life:]])</f>
        <v/>
      </c>
    </row>
    <row r="77" spans="1:85">
      <c r="A77" s="184" t="str">
        <f>IF(A76&lt;Application!$D$24,A76+1,"")</f>
        <v/>
      </c>
      <c r="B77" s="60" t="str">
        <f>IF(Table2[[#This Row],[Counter Number]]="","",Application!$D$16)</f>
        <v/>
      </c>
      <c r="C77" s="60" t="str">
        <f>IF(Table2[[#This Row],[Counter Number]]="","",Application!$D$14)</f>
        <v/>
      </c>
      <c r="D77" s="60" t="str">
        <f>IF(Table2[[#This Row],[Counter Number]]="","",Table1[[#This Row],[Old Bus Number]])</f>
        <v/>
      </c>
      <c r="E77" s="60" t="str">
        <f>IF(Table2[[#This Row],[Counter Number]]="","",Application!$D$15)</f>
        <v/>
      </c>
      <c r="F77" s="60" t="str">
        <f>IF(Table2[[#This Row],[Counter Number]]="","","On Highway")</f>
        <v/>
      </c>
      <c r="G77" s="60" t="str">
        <f>IF(Table2[[#This Row],[Counter Number]]="","",I77)</f>
        <v/>
      </c>
      <c r="H77" s="60" t="str">
        <f>IF(Table2[[#This Row],[Counter Number]]="","","Georgia")</f>
        <v/>
      </c>
      <c r="I77" s="60" t="str">
        <f>IF(Table2[[#This Row],[Counter Number]]="","",Application!$D$16)</f>
        <v/>
      </c>
      <c r="J77" s="60" t="str">
        <f>IF(Table2[[#This Row],[Counter Number]]="","",Application!$D$21)</f>
        <v/>
      </c>
      <c r="K77" s="60" t="str">
        <f>IF(Table2[[#This Row],[Counter Number]]="","",Application!$J$21)</f>
        <v/>
      </c>
      <c r="L77" s="60" t="str">
        <f>IF(Table2[[#This Row],[Counter Number]]="","","School Bus")</f>
        <v/>
      </c>
      <c r="M77" s="60" t="str">
        <f>IF(Table2[[#This Row],[Counter Number]]="","","School Bus")</f>
        <v/>
      </c>
      <c r="N77" s="60" t="str">
        <f>IF(Table2[[#This Row],[Counter Number]]="","",1)</f>
        <v/>
      </c>
      <c r="O77" s="60" t="str">
        <f>IF(Table2[[#This Row],[Counter Number]]="","",Table1[[#This Row],[Vehicle Identification Number(s):]])</f>
        <v/>
      </c>
      <c r="P77" s="60" t="str">
        <f>IF(Table2[[#This Row],[Counter Number]]="","",Table1[[#This Row],[Old Bus Manufacturer:]])</f>
        <v/>
      </c>
      <c r="Q77" s="60" t="str">
        <f>IF(Table2[[#This Row],[Counter Number]]="","",Table1[[#This Row],[Vehicle Model:]])</f>
        <v/>
      </c>
      <c r="R77" s="165" t="str">
        <f>IF(Table2[[#This Row],[Counter Number]]="","",Table1[[#This Row],[Vehicle Model Year:]])</f>
        <v/>
      </c>
      <c r="S77" s="60" t="str">
        <f>IF(Table2[[#This Row],[Counter Number]]="","",Table1[[#This Row],[Engine Serial Number(s):]])</f>
        <v/>
      </c>
      <c r="T77" s="60" t="str">
        <f>IF(Table2[[#This Row],[Counter Number]]="","",Table1[[#This Row],[Engine Make:]])</f>
        <v/>
      </c>
      <c r="U77" s="60" t="str">
        <f>IF(Table2[[#This Row],[Counter Number]]="","",Table1[[#This Row],[Engine Model:]])</f>
        <v/>
      </c>
      <c r="V77" s="165" t="str">
        <f>IF(Table2[[#This Row],[Counter Number]]="","",Table1[[#This Row],[Engine Model Year:]])</f>
        <v/>
      </c>
      <c r="W77" s="60" t="str">
        <f>IF(Table2[[#This Row],[Counter Number]]="","","NA")</f>
        <v/>
      </c>
      <c r="X77" s="165" t="str">
        <f>IF(Table2[[#This Row],[Counter Number]]="","",Table1[[#This Row],[Engine Horsepower (HP):]])</f>
        <v/>
      </c>
      <c r="Y77" s="165" t="str">
        <f>IF(Table2[[#This Row],[Counter Number]]="","",Table1[[#This Row],[Engine Cylinder Displacement (L):]]&amp;" L")</f>
        <v/>
      </c>
      <c r="Z77" s="165" t="str">
        <f>IF(Table2[[#This Row],[Counter Number]]="","",Table1[[#This Row],[Engine Number of Cylinders:]])</f>
        <v/>
      </c>
      <c r="AA77" s="166" t="str">
        <f>IF(Table2[[#This Row],[Counter Number]]="","",Table1[[#This Row],[Engine Family Name:]])</f>
        <v/>
      </c>
      <c r="AB77" s="60" t="str">
        <f>IF(Table2[[#This Row],[Counter Number]]="","","ULSD")</f>
        <v/>
      </c>
      <c r="AC77" s="167" t="str">
        <f>IF(Table2[[#This Row],[Counter Number]]="","",Table2[[#This Row],[Annual Miles Traveled:]]/Table1[[#This Row],[Old Fuel (mpg)]])</f>
        <v/>
      </c>
      <c r="AD77" s="60" t="str">
        <f>IF(Table2[[#This Row],[Counter Number]]="","","NA")</f>
        <v/>
      </c>
      <c r="AE77" s="168" t="str">
        <f>IF(Table2[[#This Row],[Counter Number]]="","",Table1[[#This Row],[Annual Miles Traveled]])</f>
        <v/>
      </c>
      <c r="AF77" s="169" t="str">
        <f>IF(Table2[[#This Row],[Counter Number]]="","",Table1[[#This Row],[Annual Idling Hours:]])</f>
        <v/>
      </c>
      <c r="AG77" s="60" t="str">
        <f>IF(Table2[[#This Row],[Counter Number]]="","","NA")</f>
        <v/>
      </c>
      <c r="AH77" s="165" t="str">
        <f>IF(Table2[[#This Row],[Counter Number]]="","",IF(Application!$J$25="Set Policy",Table1[[#This Row],[Remaining Life (years)         Set Policy]],Table1[[#This Row],[Remaining Life (years)               Case-by-Case]]))</f>
        <v/>
      </c>
      <c r="AI77" s="165" t="str">
        <f>IF(Table2[[#This Row],[Counter Number]]="","",IF(Application!$J$25="Case-by-Case","NA",Table2[[#This Row],[Fiscal Year of EPA Funds Used:]]+Table2[[#This Row],[Remaining Life:]]))</f>
        <v/>
      </c>
      <c r="AJ77" s="165"/>
      <c r="AK77" s="170" t="str">
        <f>IF(Table2[[#This Row],[Counter Number]]="","",Application!$D$14+1)</f>
        <v/>
      </c>
      <c r="AL77" s="60" t="str">
        <f>IF(Table2[[#This Row],[Counter Number]]="","","Vehicle Replacement")</f>
        <v/>
      </c>
      <c r="AM7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7" s="171" t="str">
        <f>IF(Table2[[#This Row],[Counter Number]]="","",Table1[[#This Row],[Cost of New Bus:]])</f>
        <v/>
      </c>
      <c r="AO77" s="60" t="str">
        <f>IF(Table2[[#This Row],[Counter Number]]="","","NA")</f>
        <v/>
      </c>
      <c r="AP77" s="165" t="str">
        <f>IF(Table2[[#This Row],[Counter Number]]="","",Table1[[#This Row],[New Engine Model Year:]])</f>
        <v/>
      </c>
      <c r="AQ77" s="60" t="str">
        <f>IF(Table2[[#This Row],[Counter Number]]="","","NA")</f>
        <v/>
      </c>
      <c r="AR77" s="165" t="str">
        <f>IF(Table2[[#This Row],[Counter Number]]="","",Table1[[#This Row],[New Engine Horsepower (HP):]])</f>
        <v/>
      </c>
      <c r="AS77" s="60" t="str">
        <f>IF(Table2[[#This Row],[Counter Number]]="","","NA")</f>
        <v/>
      </c>
      <c r="AT77" s="165" t="str">
        <f>IF(Table2[[#This Row],[Counter Number]]="","",Table1[[#This Row],[New Engine Cylinder Displacement (L):]]&amp;" L")</f>
        <v/>
      </c>
      <c r="AU77" s="114" t="str">
        <f>IF(Table2[[#This Row],[Counter Number]]="","",Table1[[#This Row],[New Engine Number of Cylinders:]])</f>
        <v/>
      </c>
      <c r="AV77" s="60" t="str">
        <f>IF(Table2[[#This Row],[Counter Number]]="","",Table1[[#This Row],[New Engine Family Name:]])</f>
        <v/>
      </c>
      <c r="AW7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7" s="60" t="str">
        <f>IF(Table2[[#This Row],[Counter Number]]="","","NA")</f>
        <v/>
      </c>
      <c r="AY77" s="172" t="str">
        <f>IF(Table2[[#This Row],[Counter Number]]="","",IF(Table2[[#This Row],[New Engine Fuel Type:]]="ULSD",Table1[[#This Row],[Annual Miles Traveled]]/Table1[[#This Row],[New Fuel (mpg) if Diesel]],""))</f>
        <v/>
      </c>
      <c r="AZ77" s="60"/>
      <c r="BA77" s="173" t="str">
        <f>IF(Table2[[#This Row],[Counter Number]]="","",Table2[[#This Row],[Annual Miles Traveled:]]*VLOOKUP(Table2[[#This Row],[Engine Model Year:]],EFTable[],3,FALSE))</f>
        <v/>
      </c>
      <c r="BB77" s="173" t="str">
        <f>IF(Table2[[#This Row],[Counter Number]]="","",Table2[[#This Row],[Annual Miles Traveled:]]*IF(Table2[[#This Row],[New Engine Fuel Type:]]="ULSD",VLOOKUP(Table2[[#This Row],[New Engine Model Year:]],EFTable[],3,FALSE),VLOOKUP(Table2[[#This Row],[New Engine Fuel Type:]],EFTable[],3,FALSE)))</f>
        <v/>
      </c>
      <c r="BC77" s="187" t="str">
        <f>IF(Table2[[#This Row],[Counter Number]]="","",Table2[[#This Row],[Old Bus NOx Emissions (tons/yr)]]-Table2[[#This Row],[New Bus NOx Emissions (tons/yr)]])</f>
        <v/>
      </c>
      <c r="BD77" s="188" t="str">
        <f>IF(Table2[[#This Row],[Counter Number]]="","",Table2[[#This Row],[Reduction Bus NOx Emissions (tons/yr)]]/Table2[[#This Row],[Old Bus NOx Emissions (tons/yr)]])</f>
        <v/>
      </c>
      <c r="BE77" s="175" t="str">
        <f>IF(Table2[[#This Row],[Counter Number]]="","",Table2[[#This Row],[Reduction Bus NOx Emissions (tons/yr)]]*Table2[[#This Row],[Remaining Life:]])</f>
        <v/>
      </c>
      <c r="BF77" s="189" t="str">
        <f>IF(Table2[[#This Row],[Counter Number]]="","",IF(Table2[[#This Row],[Lifetime NOx Reduction (tons)]]=0,"NA",Table2[[#This Row],[Upgrade Cost Per Unit]]/Table2[[#This Row],[Lifetime NOx Reduction (tons)]]))</f>
        <v/>
      </c>
      <c r="BG77" s="190" t="str">
        <f>IF(Table2[[#This Row],[Counter Number]]="","",Table2[[#This Row],[Annual Miles Traveled:]]*VLOOKUP(Table2[[#This Row],[Engine Model Year:]],EF!$A$2:$G$27,4,FALSE))</f>
        <v/>
      </c>
      <c r="BH77" s="173" t="str">
        <f>IF(Table2[[#This Row],[Counter Number]]="","",Table2[[#This Row],[Annual Miles Traveled:]]*IF(Table2[[#This Row],[New Engine Fuel Type:]]="ULSD",VLOOKUP(Table2[[#This Row],[New Engine Model Year:]],EFTable[],4,FALSE),VLOOKUP(Table2[[#This Row],[New Engine Fuel Type:]],EFTable[],4,FALSE)))</f>
        <v/>
      </c>
      <c r="BI77" s="191" t="str">
        <f>IF(Table2[[#This Row],[Counter Number]]="","",Table2[[#This Row],[Old Bus PM2.5 Emissions (tons/yr)]]-Table2[[#This Row],[New Bus PM2.5 Emissions (tons/yr)]])</f>
        <v/>
      </c>
      <c r="BJ77" s="192" t="str">
        <f>IF(Table2[[#This Row],[Counter Number]]="","",Table2[[#This Row],[Reduction Bus PM2.5 Emissions (tons/yr)]]/Table2[[#This Row],[Old Bus PM2.5 Emissions (tons/yr)]])</f>
        <v/>
      </c>
      <c r="BK77" s="193" t="str">
        <f>IF(Table2[[#This Row],[Counter Number]]="","",Table2[[#This Row],[Reduction Bus PM2.5 Emissions (tons/yr)]]*Table2[[#This Row],[Remaining Life:]])</f>
        <v/>
      </c>
      <c r="BL77" s="194" t="str">
        <f>IF(Table2[[#This Row],[Counter Number]]="","",IF(Table2[[#This Row],[Lifetime PM2.5 Reduction (tons)]]=0,"NA",Table2[[#This Row],[Upgrade Cost Per Unit]]/Table2[[#This Row],[Lifetime PM2.5 Reduction (tons)]]))</f>
        <v/>
      </c>
      <c r="BM77" s="179" t="str">
        <f>IF(Table2[[#This Row],[Counter Number]]="","",Table2[[#This Row],[Annual Miles Traveled:]]*VLOOKUP(Table2[[#This Row],[Engine Model Year:]],EF!$A$2:$G$40,5,FALSE))</f>
        <v/>
      </c>
      <c r="BN77" s="173" t="str">
        <f>IF(Table2[[#This Row],[Counter Number]]="","",Table2[[#This Row],[Annual Miles Traveled:]]*IF(Table2[[#This Row],[New Engine Fuel Type:]]="ULSD",VLOOKUP(Table2[[#This Row],[New Engine Model Year:]],EFTable[],5,FALSE),VLOOKUP(Table2[[#This Row],[New Engine Fuel Type:]],EFTable[],5,FALSE)))</f>
        <v/>
      </c>
      <c r="BO77" s="190" t="str">
        <f>IF(Table2[[#This Row],[Counter Number]]="","",Table2[[#This Row],[Old Bus HC Emissions (tons/yr)]]-Table2[[#This Row],[New Bus HC Emissions (tons/yr)]])</f>
        <v/>
      </c>
      <c r="BP77" s="188" t="str">
        <f>IF(Table2[[#This Row],[Counter Number]]="","",Table2[[#This Row],[Reduction Bus HC Emissions (tons/yr)]]/Table2[[#This Row],[Old Bus HC Emissions (tons/yr)]])</f>
        <v/>
      </c>
      <c r="BQ77" s="193" t="str">
        <f>IF(Table2[[#This Row],[Counter Number]]="","",Table2[[#This Row],[Reduction Bus HC Emissions (tons/yr)]]*Table2[[#This Row],[Remaining Life:]])</f>
        <v/>
      </c>
      <c r="BR77" s="194" t="str">
        <f>IF(Table2[[#This Row],[Counter Number]]="","",IF(Table2[[#This Row],[Lifetime HC Reduction (tons)]]=0,"NA",Table2[[#This Row],[Upgrade Cost Per Unit]]/Table2[[#This Row],[Lifetime HC Reduction (tons)]]))</f>
        <v/>
      </c>
      <c r="BS77" s="191" t="str">
        <f>IF(Table2[[#This Row],[Counter Number]]="","",Table2[[#This Row],[Annual Miles Traveled:]]*VLOOKUP(Table2[[#This Row],[Engine Model Year:]],EF!$A$2:$G$27,6,FALSE))</f>
        <v/>
      </c>
      <c r="BT77" s="173" t="str">
        <f>IF(Table2[[#This Row],[Counter Number]]="","",Table2[[#This Row],[Annual Miles Traveled:]]*IF(Table2[[#This Row],[New Engine Fuel Type:]]="ULSD",VLOOKUP(Table2[[#This Row],[New Engine Model Year:]],EFTable[],6,FALSE),VLOOKUP(Table2[[#This Row],[New Engine Fuel Type:]],EFTable[],6,FALSE)))</f>
        <v/>
      </c>
      <c r="BU77" s="190" t="str">
        <f>IF(Table2[[#This Row],[Counter Number]]="","",Table2[[#This Row],[Old Bus CO Emissions (tons/yr)]]-Table2[[#This Row],[New Bus CO Emissions (tons/yr)]])</f>
        <v/>
      </c>
      <c r="BV77" s="188" t="str">
        <f>IF(Table2[[#This Row],[Counter Number]]="","",Table2[[#This Row],[Reduction Bus CO Emissions (tons/yr)]]/Table2[[#This Row],[Old Bus CO Emissions (tons/yr)]])</f>
        <v/>
      </c>
      <c r="BW77" s="193" t="str">
        <f>IF(Table2[[#This Row],[Counter Number]]="","",Table2[[#This Row],[Reduction Bus CO Emissions (tons/yr)]]*Table2[[#This Row],[Remaining Life:]])</f>
        <v/>
      </c>
      <c r="BX77" s="194" t="str">
        <f>IF(Table2[[#This Row],[Counter Number]]="","",IF(Table2[[#This Row],[Lifetime CO Reduction (tons)]]=0,"NA",Table2[[#This Row],[Upgrade Cost Per Unit]]/Table2[[#This Row],[Lifetime CO Reduction (tons)]]))</f>
        <v/>
      </c>
      <c r="BY77" s="180" t="str">
        <f>IF(Table2[[#This Row],[Counter Number]]="","",Table2[[#This Row],[Old ULSD Used (gal):]]*VLOOKUP(Table2[[#This Row],[Engine Model Year:]],EF!$A$2:$G$27,7,FALSE))</f>
        <v/>
      </c>
      <c r="BZ7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7" s="195" t="str">
        <f>IF(Table2[[#This Row],[Counter Number]]="","",Table2[[#This Row],[Old Bus CO2 Emissions (tons/yr)]]-Table2[[#This Row],[New Bus CO2 Emissions (tons/yr)]])</f>
        <v/>
      </c>
      <c r="CB77" s="188" t="str">
        <f>IF(Table2[[#This Row],[Counter Number]]="","",Table2[[#This Row],[Reduction Bus CO2 Emissions (tons/yr)]]/Table2[[#This Row],[Old Bus CO2 Emissions (tons/yr)]])</f>
        <v/>
      </c>
      <c r="CC77" s="195" t="str">
        <f>IF(Table2[[#This Row],[Counter Number]]="","",Table2[[#This Row],[Reduction Bus CO2 Emissions (tons/yr)]]*Table2[[#This Row],[Remaining Life:]])</f>
        <v/>
      </c>
      <c r="CD77" s="194" t="str">
        <f>IF(Table2[[#This Row],[Counter Number]]="","",IF(Table2[[#This Row],[Lifetime CO2 Reduction (tons)]]=0,"NA",Table2[[#This Row],[Upgrade Cost Per Unit]]/Table2[[#This Row],[Lifetime CO2 Reduction (tons)]]))</f>
        <v/>
      </c>
      <c r="CE77" s="182" t="str">
        <f>IF(Table2[[#This Row],[Counter Number]]="","",IF(Table2[[#This Row],[New ULSD Used (gal):]]="",Table2[[#This Row],[Old ULSD Used (gal):]],Table2[[#This Row],[Old ULSD Used (gal):]]-Table2[[#This Row],[New ULSD Used (gal):]]))</f>
        <v/>
      </c>
      <c r="CF77" s="196" t="str">
        <f>IF(Table2[[#This Row],[Counter Number]]="","",Table2[[#This Row],[Diesel Fuel Reduction (gal/yr)]]/Table2[[#This Row],[Old ULSD Used (gal):]])</f>
        <v/>
      </c>
      <c r="CG77" s="197" t="str">
        <f>IF(Table2[[#This Row],[Counter Number]]="","",Table2[[#This Row],[Diesel Fuel Reduction (gal/yr)]]*Table2[[#This Row],[Remaining Life:]])</f>
        <v/>
      </c>
    </row>
    <row r="78" spans="1:85">
      <c r="A78" s="184" t="str">
        <f>IF(A77&lt;Application!$D$24,A77+1,"")</f>
        <v/>
      </c>
      <c r="B78" s="60" t="str">
        <f>IF(Table2[[#This Row],[Counter Number]]="","",Application!$D$16)</f>
        <v/>
      </c>
      <c r="C78" s="60" t="str">
        <f>IF(Table2[[#This Row],[Counter Number]]="","",Application!$D$14)</f>
        <v/>
      </c>
      <c r="D78" s="60" t="str">
        <f>IF(Table2[[#This Row],[Counter Number]]="","",Table1[[#This Row],[Old Bus Number]])</f>
        <v/>
      </c>
      <c r="E78" s="60" t="str">
        <f>IF(Table2[[#This Row],[Counter Number]]="","",Application!$D$15)</f>
        <v/>
      </c>
      <c r="F78" s="60" t="str">
        <f>IF(Table2[[#This Row],[Counter Number]]="","","On Highway")</f>
        <v/>
      </c>
      <c r="G78" s="60" t="str">
        <f>IF(Table2[[#This Row],[Counter Number]]="","",I78)</f>
        <v/>
      </c>
      <c r="H78" s="60" t="str">
        <f>IF(Table2[[#This Row],[Counter Number]]="","","Georgia")</f>
        <v/>
      </c>
      <c r="I78" s="60" t="str">
        <f>IF(Table2[[#This Row],[Counter Number]]="","",Application!$D$16)</f>
        <v/>
      </c>
      <c r="J78" s="60" t="str">
        <f>IF(Table2[[#This Row],[Counter Number]]="","",Application!$D$21)</f>
        <v/>
      </c>
      <c r="K78" s="60" t="str">
        <f>IF(Table2[[#This Row],[Counter Number]]="","",Application!$J$21)</f>
        <v/>
      </c>
      <c r="L78" s="60" t="str">
        <f>IF(Table2[[#This Row],[Counter Number]]="","","School Bus")</f>
        <v/>
      </c>
      <c r="M78" s="60" t="str">
        <f>IF(Table2[[#This Row],[Counter Number]]="","","School Bus")</f>
        <v/>
      </c>
      <c r="N78" s="60" t="str">
        <f>IF(Table2[[#This Row],[Counter Number]]="","",1)</f>
        <v/>
      </c>
      <c r="O78" s="60" t="str">
        <f>IF(Table2[[#This Row],[Counter Number]]="","",Table1[[#This Row],[Vehicle Identification Number(s):]])</f>
        <v/>
      </c>
      <c r="P78" s="60" t="str">
        <f>IF(Table2[[#This Row],[Counter Number]]="","",Table1[[#This Row],[Old Bus Manufacturer:]])</f>
        <v/>
      </c>
      <c r="Q78" s="60" t="str">
        <f>IF(Table2[[#This Row],[Counter Number]]="","",Table1[[#This Row],[Vehicle Model:]])</f>
        <v/>
      </c>
      <c r="R78" s="165" t="str">
        <f>IF(Table2[[#This Row],[Counter Number]]="","",Table1[[#This Row],[Vehicle Model Year:]])</f>
        <v/>
      </c>
      <c r="S78" s="60" t="str">
        <f>IF(Table2[[#This Row],[Counter Number]]="","",Table1[[#This Row],[Engine Serial Number(s):]])</f>
        <v/>
      </c>
      <c r="T78" s="60" t="str">
        <f>IF(Table2[[#This Row],[Counter Number]]="","",Table1[[#This Row],[Engine Make:]])</f>
        <v/>
      </c>
      <c r="U78" s="60" t="str">
        <f>IF(Table2[[#This Row],[Counter Number]]="","",Table1[[#This Row],[Engine Model:]])</f>
        <v/>
      </c>
      <c r="V78" s="165" t="str">
        <f>IF(Table2[[#This Row],[Counter Number]]="","",Table1[[#This Row],[Engine Model Year:]])</f>
        <v/>
      </c>
      <c r="W78" s="60" t="str">
        <f>IF(Table2[[#This Row],[Counter Number]]="","","NA")</f>
        <v/>
      </c>
      <c r="X78" s="165" t="str">
        <f>IF(Table2[[#This Row],[Counter Number]]="","",Table1[[#This Row],[Engine Horsepower (HP):]])</f>
        <v/>
      </c>
      <c r="Y78" s="165" t="str">
        <f>IF(Table2[[#This Row],[Counter Number]]="","",Table1[[#This Row],[Engine Cylinder Displacement (L):]]&amp;" L")</f>
        <v/>
      </c>
      <c r="Z78" s="165" t="str">
        <f>IF(Table2[[#This Row],[Counter Number]]="","",Table1[[#This Row],[Engine Number of Cylinders:]])</f>
        <v/>
      </c>
      <c r="AA78" s="166" t="str">
        <f>IF(Table2[[#This Row],[Counter Number]]="","",Table1[[#This Row],[Engine Family Name:]])</f>
        <v/>
      </c>
      <c r="AB78" s="60" t="str">
        <f>IF(Table2[[#This Row],[Counter Number]]="","","ULSD")</f>
        <v/>
      </c>
      <c r="AC78" s="167" t="str">
        <f>IF(Table2[[#This Row],[Counter Number]]="","",Table2[[#This Row],[Annual Miles Traveled:]]/Table1[[#This Row],[Old Fuel (mpg)]])</f>
        <v/>
      </c>
      <c r="AD78" s="60" t="str">
        <f>IF(Table2[[#This Row],[Counter Number]]="","","NA")</f>
        <v/>
      </c>
      <c r="AE78" s="168" t="str">
        <f>IF(Table2[[#This Row],[Counter Number]]="","",Table1[[#This Row],[Annual Miles Traveled]])</f>
        <v/>
      </c>
      <c r="AF78" s="169" t="str">
        <f>IF(Table2[[#This Row],[Counter Number]]="","",Table1[[#This Row],[Annual Idling Hours:]])</f>
        <v/>
      </c>
      <c r="AG78" s="60" t="str">
        <f>IF(Table2[[#This Row],[Counter Number]]="","","NA")</f>
        <v/>
      </c>
      <c r="AH78" s="165" t="str">
        <f>IF(Table2[[#This Row],[Counter Number]]="","",IF(Application!$J$25="Set Policy",Table1[[#This Row],[Remaining Life (years)         Set Policy]],Table1[[#This Row],[Remaining Life (years)               Case-by-Case]]))</f>
        <v/>
      </c>
      <c r="AI78" s="165" t="str">
        <f>IF(Table2[[#This Row],[Counter Number]]="","",IF(Application!$J$25="Case-by-Case","NA",Table2[[#This Row],[Fiscal Year of EPA Funds Used:]]+Table2[[#This Row],[Remaining Life:]]))</f>
        <v/>
      </c>
      <c r="AJ78" s="165"/>
      <c r="AK78" s="170" t="str">
        <f>IF(Table2[[#This Row],[Counter Number]]="","",Application!$D$14+1)</f>
        <v/>
      </c>
      <c r="AL78" s="60" t="str">
        <f>IF(Table2[[#This Row],[Counter Number]]="","","Vehicle Replacement")</f>
        <v/>
      </c>
      <c r="AM7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8" s="171" t="str">
        <f>IF(Table2[[#This Row],[Counter Number]]="","",Table1[[#This Row],[Cost of New Bus:]])</f>
        <v/>
      </c>
      <c r="AO78" s="60" t="str">
        <f>IF(Table2[[#This Row],[Counter Number]]="","","NA")</f>
        <v/>
      </c>
      <c r="AP78" s="165" t="str">
        <f>IF(Table2[[#This Row],[Counter Number]]="","",Table1[[#This Row],[New Engine Model Year:]])</f>
        <v/>
      </c>
      <c r="AQ78" s="60" t="str">
        <f>IF(Table2[[#This Row],[Counter Number]]="","","NA")</f>
        <v/>
      </c>
      <c r="AR78" s="165" t="str">
        <f>IF(Table2[[#This Row],[Counter Number]]="","",Table1[[#This Row],[New Engine Horsepower (HP):]])</f>
        <v/>
      </c>
      <c r="AS78" s="60" t="str">
        <f>IF(Table2[[#This Row],[Counter Number]]="","","NA")</f>
        <v/>
      </c>
      <c r="AT78" s="165" t="str">
        <f>IF(Table2[[#This Row],[Counter Number]]="","",Table1[[#This Row],[New Engine Cylinder Displacement (L):]]&amp;" L")</f>
        <v/>
      </c>
      <c r="AU78" s="114" t="str">
        <f>IF(Table2[[#This Row],[Counter Number]]="","",Table1[[#This Row],[New Engine Number of Cylinders:]])</f>
        <v/>
      </c>
      <c r="AV78" s="60" t="str">
        <f>IF(Table2[[#This Row],[Counter Number]]="","",Table1[[#This Row],[New Engine Family Name:]])</f>
        <v/>
      </c>
      <c r="AW7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8" s="60" t="str">
        <f>IF(Table2[[#This Row],[Counter Number]]="","","NA")</f>
        <v/>
      </c>
      <c r="AY78" s="172" t="str">
        <f>IF(Table2[[#This Row],[Counter Number]]="","",IF(Table2[[#This Row],[New Engine Fuel Type:]]="ULSD",Table1[[#This Row],[Annual Miles Traveled]]/Table1[[#This Row],[New Fuel (mpg) if Diesel]],""))</f>
        <v/>
      </c>
      <c r="AZ78" s="60"/>
      <c r="BA78" s="173" t="str">
        <f>IF(Table2[[#This Row],[Counter Number]]="","",Table2[[#This Row],[Annual Miles Traveled:]]*VLOOKUP(Table2[[#This Row],[Engine Model Year:]],EFTable[],3,FALSE))</f>
        <v/>
      </c>
      <c r="BB78" s="173" t="str">
        <f>IF(Table2[[#This Row],[Counter Number]]="","",Table2[[#This Row],[Annual Miles Traveled:]]*IF(Table2[[#This Row],[New Engine Fuel Type:]]="ULSD",VLOOKUP(Table2[[#This Row],[New Engine Model Year:]],EFTable[],3,FALSE),VLOOKUP(Table2[[#This Row],[New Engine Fuel Type:]],EFTable[],3,FALSE)))</f>
        <v/>
      </c>
      <c r="BC78" s="187" t="str">
        <f>IF(Table2[[#This Row],[Counter Number]]="","",Table2[[#This Row],[Old Bus NOx Emissions (tons/yr)]]-Table2[[#This Row],[New Bus NOx Emissions (tons/yr)]])</f>
        <v/>
      </c>
      <c r="BD78" s="188" t="str">
        <f>IF(Table2[[#This Row],[Counter Number]]="","",Table2[[#This Row],[Reduction Bus NOx Emissions (tons/yr)]]/Table2[[#This Row],[Old Bus NOx Emissions (tons/yr)]])</f>
        <v/>
      </c>
      <c r="BE78" s="175" t="str">
        <f>IF(Table2[[#This Row],[Counter Number]]="","",Table2[[#This Row],[Reduction Bus NOx Emissions (tons/yr)]]*Table2[[#This Row],[Remaining Life:]])</f>
        <v/>
      </c>
      <c r="BF78" s="189" t="str">
        <f>IF(Table2[[#This Row],[Counter Number]]="","",IF(Table2[[#This Row],[Lifetime NOx Reduction (tons)]]=0,"NA",Table2[[#This Row],[Upgrade Cost Per Unit]]/Table2[[#This Row],[Lifetime NOx Reduction (tons)]]))</f>
        <v/>
      </c>
      <c r="BG78" s="190" t="str">
        <f>IF(Table2[[#This Row],[Counter Number]]="","",Table2[[#This Row],[Annual Miles Traveled:]]*VLOOKUP(Table2[[#This Row],[Engine Model Year:]],EF!$A$2:$G$27,4,FALSE))</f>
        <v/>
      </c>
      <c r="BH78" s="173" t="str">
        <f>IF(Table2[[#This Row],[Counter Number]]="","",Table2[[#This Row],[Annual Miles Traveled:]]*IF(Table2[[#This Row],[New Engine Fuel Type:]]="ULSD",VLOOKUP(Table2[[#This Row],[New Engine Model Year:]],EFTable[],4,FALSE),VLOOKUP(Table2[[#This Row],[New Engine Fuel Type:]],EFTable[],4,FALSE)))</f>
        <v/>
      </c>
      <c r="BI78" s="191" t="str">
        <f>IF(Table2[[#This Row],[Counter Number]]="","",Table2[[#This Row],[Old Bus PM2.5 Emissions (tons/yr)]]-Table2[[#This Row],[New Bus PM2.5 Emissions (tons/yr)]])</f>
        <v/>
      </c>
      <c r="BJ78" s="192" t="str">
        <f>IF(Table2[[#This Row],[Counter Number]]="","",Table2[[#This Row],[Reduction Bus PM2.5 Emissions (tons/yr)]]/Table2[[#This Row],[Old Bus PM2.5 Emissions (tons/yr)]])</f>
        <v/>
      </c>
      <c r="BK78" s="193" t="str">
        <f>IF(Table2[[#This Row],[Counter Number]]="","",Table2[[#This Row],[Reduction Bus PM2.5 Emissions (tons/yr)]]*Table2[[#This Row],[Remaining Life:]])</f>
        <v/>
      </c>
      <c r="BL78" s="194" t="str">
        <f>IF(Table2[[#This Row],[Counter Number]]="","",IF(Table2[[#This Row],[Lifetime PM2.5 Reduction (tons)]]=0,"NA",Table2[[#This Row],[Upgrade Cost Per Unit]]/Table2[[#This Row],[Lifetime PM2.5 Reduction (tons)]]))</f>
        <v/>
      </c>
      <c r="BM78" s="179" t="str">
        <f>IF(Table2[[#This Row],[Counter Number]]="","",Table2[[#This Row],[Annual Miles Traveled:]]*VLOOKUP(Table2[[#This Row],[Engine Model Year:]],EF!$A$2:$G$40,5,FALSE))</f>
        <v/>
      </c>
      <c r="BN78" s="173" t="str">
        <f>IF(Table2[[#This Row],[Counter Number]]="","",Table2[[#This Row],[Annual Miles Traveled:]]*IF(Table2[[#This Row],[New Engine Fuel Type:]]="ULSD",VLOOKUP(Table2[[#This Row],[New Engine Model Year:]],EFTable[],5,FALSE),VLOOKUP(Table2[[#This Row],[New Engine Fuel Type:]],EFTable[],5,FALSE)))</f>
        <v/>
      </c>
      <c r="BO78" s="190" t="str">
        <f>IF(Table2[[#This Row],[Counter Number]]="","",Table2[[#This Row],[Old Bus HC Emissions (tons/yr)]]-Table2[[#This Row],[New Bus HC Emissions (tons/yr)]])</f>
        <v/>
      </c>
      <c r="BP78" s="188" t="str">
        <f>IF(Table2[[#This Row],[Counter Number]]="","",Table2[[#This Row],[Reduction Bus HC Emissions (tons/yr)]]/Table2[[#This Row],[Old Bus HC Emissions (tons/yr)]])</f>
        <v/>
      </c>
      <c r="BQ78" s="193" t="str">
        <f>IF(Table2[[#This Row],[Counter Number]]="","",Table2[[#This Row],[Reduction Bus HC Emissions (tons/yr)]]*Table2[[#This Row],[Remaining Life:]])</f>
        <v/>
      </c>
      <c r="BR78" s="194" t="str">
        <f>IF(Table2[[#This Row],[Counter Number]]="","",IF(Table2[[#This Row],[Lifetime HC Reduction (tons)]]=0,"NA",Table2[[#This Row],[Upgrade Cost Per Unit]]/Table2[[#This Row],[Lifetime HC Reduction (tons)]]))</f>
        <v/>
      </c>
      <c r="BS78" s="191" t="str">
        <f>IF(Table2[[#This Row],[Counter Number]]="","",Table2[[#This Row],[Annual Miles Traveled:]]*VLOOKUP(Table2[[#This Row],[Engine Model Year:]],EF!$A$2:$G$27,6,FALSE))</f>
        <v/>
      </c>
      <c r="BT78" s="173" t="str">
        <f>IF(Table2[[#This Row],[Counter Number]]="","",Table2[[#This Row],[Annual Miles Traveled:]]*IF(Table2[[#This Row],[New Engine Fuel Type:]]="ULSD",VLOOKUP(Table2[[#This Row],[New Engine Model Year:]],EFTable[],6,FALSE),VLOOKUP(Table2[[#This Row],[New Engine Fuel Type:]],EFTable[],6,FALSE)))</f>
        <v/>
      </c>
      <c r="BU78" s="190" t="str">
        <f>IF(Table2[[#This Row],[Counter Number]]="","",Table2[[#This Row],[Old Bus CO Emissions (tons/yr)]]-Table2[[#This Row],[New Bus CO Emissions (tons/yr)]])</f>
        <v/>
      </c>
      <c r="BV78" s="188" t="str">
        <f>IF(Table2[[#This Row],[Counter Number]]="","",Table2[[#This Row],[Reduction Bus CO Emissions (tons/yr)]]/Table2[[#This Row],[Old Bus CO Emissions (tons/yr)]])</f>
        <v/>
      </c>
      <c r="BW78" s="193" t="str">
        <f>IF(Table2[[#This Row],[Counter Number]]="","",Table2[[#This Row],[Reduction Bus CO Emissions (tons/yr)]]*Table2[[#This Row],[Remaining Life:]])</f>
        <v/>
      </c>
      <c r="BX78" s="194" t="str">
        <f>IF(Table2[[#This Row],[Counter Number]]="","",IF(Table2[[#This Row],[Lifetime CO Reduction (tons)]]=0,"NA",Table2[[#This Row],[Upgrade Cost Per Unit]]/Table2[[#This Row],[Lifetime CO Reduction (tons)]]))</f>
        <v/>
      </c>
      <c r="BY78" s="180" t="str">
        <f>IF(Table2[[#This Row],[Counter Number]]="","",Table2[[#This Row],[Old ULSD Used (gal):]]*VLOOKUP(Table2[[#This Row],[Engine Model Year:]],EF!$A$2:$G$27,7,FALSE))</f>
        <v/>
      </c>
      <c r="BZ7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8" s="195" t="str">
        <f>IF(Table2[[#This Row],[Counter Number]]="","",Table2[[#This Row],[Old Bus CO2 Emissions (tons/yr)]]-Table2[[#This Row],[New Bus CO2 Emissions (tons/yr)]])</f>
        <v/>
      </c>
      <c r="CB78" s="188" t="str">
        <f>IF(Table2[[#This Row],[Counter Number]]="","",Table2[[#This Row],[Reduction Bus CO2 Emissions (tons/yr)]]/Table2[[#This Row],[Old Bus CO2 Emissions (tons/yr)]])</f>
        <v/>
      </c>
      <c r="CC78" s="195" t="str">
        <f>IF(Table2[[#This Row],[Counter Number]]="","",Table2[[#This Row],[Reduction Bus CO2 Emissions (tons/yr)]]*Table2[[#This Row],[Remaining Life:]])</f>
        <v/>
      </c>
      <c r="CD78" s="194" t="str">
        <f>IF(Table2[[#This Row],[Counter Number]]="","",IF(Table2[[#This Row],[Lifetime CO2 Reduction (tons)]]=0,"NA",Table2[[#This Row],[Upgrade Cost Per Unit]]/Table2[[#This Row],[Lifetime CO2 Reduction (tons)]]))</f>
        <v/>
      </c>
      <c r="CE78" s="182" t="str">
        <f>IF(Table2[[#This Row],[Counter Number]]="","",IF(Table2[[#This Row],[New ULSD Used (gal):]]="",Table2[[#This Row],[Old ULSD Used (gal):]],Table2[[#This Row],[Old ULSD Used (gal):]]-Table2[[#This Row],[New ULSD Used (gal):]]))</f>
        <v/>
      </c>
      <c r="CF78" s="196" t="str">
        <f>IF(Table2[[#This Row],[Counter Number]]="","",Table2[[#This Row],[Diesel Fuel Reduction (gal/yr)]]/Table2[[#This Row],[Old ULSD Used (gal):]])</f>
        <v/>
      </c>
      <c r="CG78" s="197" t="str">
        <f>IF(Table2[[#This Row],[Counter Number]]="","",Table2[[#This Row],[Diesel Fuel Reduction (gal/yr)]]*Table2[[#This Row],[Remaining Life:]])</f>
        <v/>
      </c>
    </row>
    <row r="79" spans="1:85">
      <c r="A79" s="184" t="str">
        <f>IF(A78&lt;Application!$D$24,A78+1,"")</f>
        <v/>
      </c>
      <c r="B79" s="60" t="str">
        <f>IF(Table2[[#This Row],[Counter Number]]="","",Application!$D$16)</f>
        <v/>
      </c>
      <c r="C79" s="60" t="str">
        <f>IF(Table2[[#This Row],[Counter Number]]="","",Application!$D$14)</f>
        <v/>
      </c>
      <c r="D79" s="60" t="str">
        <f>IF(Table2[[#This Row],[Counter Number]]="","",Table1[[#This Row],[Old Bus Number]])</f>
        <v/>
      </c>
      <c r="E79" s="60" t="str">
        <f>IF(Table2[[#This Row],[Counter Number]]="","",Application!$D$15)</f>
        <v/>
      </c>
      <c r="F79" s="60" t="str">
        <f>IF(Table2[[#This Row],[Counter Number]]="","","On Highway")</f>
        <v/>
      </c>
      <c r="G79" s="60" t="str">
        <f>IF(Table2[[#This Row],[Counter Number]]="","",I79)</f>
        <v/>
      </c>
      <c r="H79" s="60" t="str">
        <f>IF(Table2[[#This Row],[Counter Number]]="","","Georgia")</f>
        <v/>
      </c>
      <c r="I79" s="60" t="str">
        <f>IF(Table2[[#This Row],[Counter Number]]="","",Application!$D$16)</f>
        <v/>
      </c>
      <c r="J79" s="60" t="str">
        <f>IF(Table2[[#This Row],[Counter Number]]="","",Application!$D$21)</f>
        <v/>
      </c>
      <c r="K79" s="60" t="str">
        <f>IF(Table2[[#This Row],[Counter Number]]="","",Application!$J$21)</f>
        <v/>
      </c>
      <c r="L79" s="60" t="str">
        <f>IF(Table2[[#This Row],[Counter Number]]="","","School Bus")</f>
        <v/>
      </c>
      <c r="M79" s="60" t="str">
        <f>IF(Table2[[#This Row],[Counter Number]]="","","School Bus")</f>
        <v/>
      </c>
      <c r="N79" s="60" t="str">
        <f>IF(Table2[[#This Row],[Counter Number]]="","",1)</f>
        <v/>
      </c>
      <c r="O79" s="60" t="str">
        <f>IF(Table2[[#This Row],[Counter Number]]="","",Table1[[#This Row],[Vehicle Identification Number(s):]])</f>
        <v/>
      </c>
      <c r="P79" s="60" t="str">
        <f>IF(Table2[[#This Row],[Counter Number]]="","",Table1[[#This Row],[Old Bus Manufacturer:]])</f>
        <v/>
      </c>
      <c r="Q79" s="60" t="str">
        <f>IF(Table2[[#This Row],[Counter Number]]="","",Table1[[#This Row],[Vehicle Model:]])</f>
        <v/>
      </c>
      <c r="R79" s="165" t="str">
        <f>IF(Table2[[#This Row],[Counter Number]]="","",Table1[[#This Row],[Vehicle Model Year:]])</f>
        <v/>
      </c>
      <c r="S79" s="60" t="str">
        <f>IF(Table2[[#This Row],[Counter Number]]="","",Table1[[#This Row],[Engine Serial Number(s):]])</f>
        <v/>
      </c>
      <c r="T79" s="60" t="str">
        <f>IF(Table2[[#This Row],[Counter Number]]="","",Table1[[#This Row],[Engine Make:]])</f>
        <v/>
      </c>
      <c r="U79" s="60" t="str">
        <f>IF(Table2[[#This Row],[Counter Number]]="","",Table1[[#This Row],[Engine Model:]])</f>
        <v/>
      </c>
      <c r="V79" s="165" t="str">
        <f>IF(Table2[[#This Row],[Counter Number]]="","",Table1[[#This Row],[Engine Model Year:]])</f>
        <v/>
      </c>
      <c r="W79" s="60" t="str">
        <f>IF(Table2[[#This Row],[Counter Number]]="","","NA")</f>
        <v/>
      </c>
      <c r="X79" s="165" t="str">
        <f>IF(Table2[[#This Row],[Counter Number]]="","",Table1[[#This Row],[Engine Horsepower (HP):]])</f>
        <v/>
      </c>
      <c r="Y79" s="165" t="str">
        <f>IF(Table2[[#This Row],[Counter Number]]="","",Table1[[#This Row],[Engine Cylinder Displacement (L):]]&amp;" L")</f>
        <v/>
      </c>
      <c r="Z79" s="165" t="str">
        <f>IF(Table2[[#This Row],[Counter Number]]="","",Table1[[#This Row],[Engine Number of Cylinders:]])</f>
        <v/>
      </c>
      <c r="AA79" s="166" t="str">
        <f>IF(Table2[[#This Row],[Counter Number]]="","",Table1[[#This Row],[Engine Family Name:]])</f>
        <v/>
      </c>
      <c r="AB79" s="60" t="str">
        <f>IF(Table2[[#This Row],[Counter Number]]="","","ULSD")</f>
        <v/>
      </c>
      <c r="AC79" s="167" t="str">
        <f>IF(Table2[[#This Row],[Counter Number]]="","",Table2[[#This Row],[Annual Miles Traveled:]]/Table1[[#This Row],[Old Fuel (mpg)]])</f>
        <v/>
      </c>
      <c r="AD79" s="60" t="str">
        <f>IF(Table2[[#This Row],[Counter Number]]="","","NA")</f>
        <v/>
      </c>
      <c r="AE79" s="168" t="str">
        <f>IF(Table2[[#This Row],[Counter Number]]="","",Table1[[#This Row],[Annual Miles Traveled]])</f>
        <v/>
      </c>
      <c r="AF79" s="169" t="str">
        <f>IF(Table2[[#This Row],[Counter Number]]="","",Table1[[#This Row],[Annual Idling Hours:]])</f>
        <v/>
      </c>
      <c r="AG79" s="60" t="str">
        <f>IF(Table2[[#This Row],[Counter Number]]="","","NA")</f>
        <v/>
      </c>
      <c r="AH79" s="165" t="str">
        <f>IF(Table2[[#This Row],[Counter Number]]="","",IF(Application!$J$25="Set Policy",Table1[[#This Row],[Remaining Life (years)         Set Policy]],Table1[[#This Row],[Remaining Life (years)               Case-by-Case]]))</f>
        <v/>
      </c>
      <c r="AI79" s="165" t="str">
        <f>IF(Table2[[#This Row],[Counter Number]]="","",IF(Application!$J$25="Case-by-Case","NA",Table2[[#This Row],[Fiscal Year of EPA Funds Used:]]+Table2[[#This Row],[Remaining Life:]]))</f>
        <v/>
      </c>
      <c r="AJ79" s="165"/>
      <c r="AK79" s="170" t="str">
        <f>IF(Table2[[#This Row],[Counter Number]]="","",Application!$D$14+1)</f>
        <v/>
      </c>
      <c r="AL79" s="60" t="str">
        <f>IF(Table2[[#This Row],[Counter Number]]="","","Vehicle Replacement")</f>
        <v/>
      </c>
      <c r="AM7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9" s="171" t="str">
        <f>IF(Table2[[#This Row],[Counter Number]]="","",Table1[[#This Row],[Cost of New Bus:]])</f>
        <v/>
      </c>
      <c r="AO79" s="60" t="str">
        <f>IF(Table2[[#This Row],[Counter Number]]="","","NA")</f>
        <v/>
      </c>
      <c r="AP79" s="165" t="str">
        <f>IF(Table2[[#This Row],[Counter Number]]="","",Table1[[#This Row],[New Engine Model Year:]])</f>
        <v/>
      </c>
      <c r="AQ79" s="60" t="str">
        <f>IF(Table2[[#This Row],[Counter Number]]="","","NA")</f>
        <v/>
      </c>
      <c r="AR79" s="165" t="str">
        <f>IF(Table2[[#This Row],[Counter Number]]="","",Table1[[#This Row],[New Engine Horsepower (HP):]])</f>
        <v/>
      </c>
      <c r="AS79" s="60" t="str">
        <f>IF(Table2[[#This Row],[Counter Number]]="","","NA")</f>
        <v/>
      </c>
      <c r="AT79" s="165" t="str">
        <f>IF(Table2[[#This Row],[Counter Number]]="","",Table1[[#This Row],[New Engine Cylinder Displacement (L):]]&amp;" L")</f>
        <v/>
      </c>
      <c r="AU79" s="114" t="str">
        <f>IF(Table2[[#This Row],[Counter Number]]="","",Table1[[#This Row],[New Engine Number of Cylinders:]])</f>
        <v/>
      </c>
      <c r="AV79" s="60" t="str">
        <f>IF(Table2[[#This Row],[Counter Number]]="","",Table1[[#This Row],[New Engine Family Name:]])</f>
        <v/>
      </c>
      <c r="AW7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9" s="60" t="str">
        <f>IF(Table2[[#This Row],[Counter Number]]="","","NA")</f>
        <v/>
      </c>
      <c r="AY79" s="172" t="str">
        <f>IF(Table2[[#This Row],[Counter Number]]="","",IF(Table2[[#This Row],[New Engine Fuel Type:]]="ULSD",Table1[[#This Row],[Annual Miles Traveled]]/Table1[[#This Row],[New Fuel (mpg) if Diesel]],""))</f>
        <v/>
      </c>
      <c r="AZ79" s="60"/>
      <c r="BA79" s="173" t="str">
        <f>IF(Table2[[#This Row],[Counter Number]]="","",Table2[[#This Row],[Annual Miles Traveled:]]*VLOOKUP(Table2[[#This Row],[Engine Model Year:]],EFTable[],3,FALSE))</f>
        <v/>
      </c>
      <c r="BB79" s="173" t="str">
        <f>IF(Table2[[#This Row],[Counter Number]]="","",Table2[[#This Row],[Annual Miles Traveled:]]*IF(Table2[[#This Row],[New Engine Fuel Type:]]="ULSD",VLOOKUP(Table2[[#This Row],[New Engine Model Year:]],EFTable[],3,FALSE),VLOOKUP(Table2[[#This Row],[New Engine Fuel Type:]],EFTable[],3,FALSE)))</f>
        <v/>
      </c>
      <c r="BC79" s="187" t="str">
        <f>IF(Table2[[#This Row],[Counter Number]]="","",Table2[[#This Row],[Old Bus NOx Emissions (tons/yr)]]-Table2[[#This Row],[New Bus NOx Emissions (tons/yr)]])</f>
        <v/>
      </c>
      <c r="BD79" s="188" t="str">
        <f>IF(Table2[[#This Row],[Counter Number]]="","",Table2[[#This Row],[Reduction Bus NOx Emissions (tons/yr)]]/Table2[[#This Row],[Old Bus NOx Emissions (tons/yr)]])</f>
        <v/>
      </c>
      <c r="BE79" s="175" t="str">
        <f>IF(Table2[[#This Row],[Counter Number]]="","",Table2[[#This Row],[Reduction Bus NOx Emissions (tons/yr)]]*Table2[[#This Row],[Remaining Life:]])</f>
        <v/>
      </c>
      <c r="BF79" s="189" t="str">
        <f>IF(Table2[[#This Row],[Counter Number]]="","",IF(Table2[[#This Row],[Lifetime NOx Reduction (tons)]]=0,"NA",Table2[[#This Row],[Upgrade Cost Per Unit]]/Table2[[#This Row],[Lifetime NOx Reduction (tons)]]))</f>
        <v/>
      </c>
      <c r="BG79" s="190" t="str">
        <f>IF(Table2[[#This Row],[Counter Number]]="","",Table2[[#This Row],[Annual Miles Traveled:]]*VLOOKUP(Table2[[#This Row],[Engine Model Year:]],EF!$A$2:$G$27,4,FALSE))</f>
        <v/>
      </c>
      <c r="BH79" s="173" t="str">
        <f>IF(Table2[[#This Row],[Counter Number]]="","",Table2[[#This Row],[Annual Miles Traveled:]]*IF(Table2[[#This Row],[New Engine Fuel Type:]]="ULSD",VLOOKUP(Table2[[#This Row],[New Engine Model Year:]],EFTable[],4,FALSE),VLOOKUP(Table2[[#This Row],[New Engine Fuel Type:]],EFTable[],4,FALSE)))</f>
        <v/>
      </c>
      <c r="BI79" s="191" t="str">
        <f>IF(Table2[[#This Row],[Counter Number]]="","",Table2[[#This Row],[Old Bus PM2.5 Emissions (tons/yr)]]-Table2[[#This Row],[New Bus PM2.5 Emissions (tons/yr)]])</f>
        <v/>
      </c>
      <c r="BJ79" s="192" t="str">
        <f>IF(Table2[[#This Row],[Counter Number]]="","",Table2[[#This Row],[Reduction Bus PM2.5 Emissions (tons/yr)]]/Table2[[#This Row],[Old Bus PM2.5 Emissions (tons/yr)]])</f>
        <v/>
      </c>
      <c r="BK79" s="193" t="str">
        <f>IF(Table2[[#This Row],[Counter Number]]="","",Table2[[#This Row],[Reduction Bus PM2.5 Emissions (tons/yr)]]*Table2[[#This Row],[Remaining Life:]])</f>
        <v/>
      </c>
      <c r="BL79" s="194" t="str">
        <f>IF(Table2[[#This Row],[Counter Number]]="","",IF(Table2[[#This Row],[Lifetime PM2.5 Reduction (tons)]]=0,"NA",Table2[[#This Row],[Upgrade Cost Per Unit]]/Table2[[#This Row],[Lifetime PM2.5 Reduction (tons)]]))</f>
        <v/>
      </c>
      <c r="BM79" s="179" t="str">
        <f>IF(Table2[[#This Row],[Counter Number]]="","",Table2[[#This Row],[Annual Miles Traveled:]]*VLOOKUP(Table2[[#This Row],[Engine Model Year:]],EF!$A$2:$G$40,5,FALSE))</f>
        <v/>
      </c>
      <c r="BN79" s="173" t="str">
        <f>IF(Table2[[#This Row],[Counter Number]]="","",Table2[[#This Row],[Annual Miles Traveled:]]*IF(Table2[[#This Row],[New Engine Fuel Type:]]="ULSD",VLOOKUP(Table2[[#This Row],[New Engine Model Year:]],EFTable[],5,FALSE),VLOOKUP(Table2[[#This Row],[New Engine Fuel Type:]],EFTable[],5,FALSE)))</f>
        <v/>
      </c>
      <c r="BO79" s="190" t="str">
        <f>IF(Table2[[#This Row],[Counter Number]]="","",Table2[[#This Row],[Old Bus HC Emissions (tons/yr)]]-Table2[[#This Row],[New Bus HC Emissions (tons/yr)]])</f>
        <v/>
      </c>
      <c r="BP79" s="188" t="str">
        <f>IF(Table2[[#This Row],[Counter Number]]="","",Table2[[#This Row],[Reduction Bus HC Emissions (tons/yr)]]/Table2[[#This Row],[Old Bus HC Emissions (tons/yr)]])</f>
        <v/>
      </c>
      <c r="BQ79" s="193" t="str">
        <f>IF(Table2[[#This Row],[Counter Number]]="","",Table2[[#This Row],[Reduction Bus HC Emissions (tons/yr)]]*Table2[[#This Row],[Remaining Life:]])</f>
        <v/>
      </c>
      <c r="BR79" s="194" t="str">
        <f>IF(Table2[[#This Row],[Counter Number]]="","",IF(Table2[[#This Row],[Lifetime HC Reduction (tons)]]=0,"NA",Table2[[#This Row],[Upgrade Cost Per Unit]]/Table2[[#This Row],[Lifetime HC Reduction (tons)]]))</f>
        <v/>
      </c>
      <c r="BS79" s="191" t="str">
        <f>IF(Table2[[#This Row],[Counter Number]]="","",Table2[[#This Row],[Annual Miles Traveled:]]*VLOOKUP(Table2[[#This Row],[Engine Model Year:]],EF!$A$2:$G$27,6,FALSE))</f>
        <v/>
      </c>
      <c r="BT79" s="173" t="str">
        <f>IF(Table2[[#This Row],[Counter Number]]="","",Table2[[#This Row],[Annual Miles Traveled:]]*IF(Table2[[#This Row],[New Engine Fuel Type:]]="ULSD",VLOOKUP(Table2[[#This Row],[New Engine Model Year:]],EFTable[],6,FALSE),VLOOKUP(Table2[[#This Row],[New Engine Fuel Type:]],EFTable[],6,FALSE)))</f>
        <v/>
      </c>
      <c r="BU79" s="190" t="str">
        <f>IF(Table2[[#This Row],[Counter Number]]="","",Table2[[#This Row],[Old Bus CO Emissions (tons/yr)]]-Table2[[#This Row],[New Bus CO Emissions (tons/yr)]])</f>
        <v/>
      </c>
      <c r="BV79" s="188" t="str">
        <f>IF(Table2[[#This Row],[Counter Number]]="","",Table2[[#This Row],[Reduction Bus CO Emissions (tons/yr)]]/Table2[[#This Row],[Old Bus CO Emissions (tons/yr)]])</f>
        <v/>
      </c>
      <c r="BW79" s="193" t="str">
        <f>IF(Table2[[#This Row],[Counter Number]]="","",Table2[[#This Row],[Reduction Bus CO Emissions (tons/yr)]]*Table2[[#This Row],[Remaining Life:]])</f>
        <v/>
      </c>
      <c r="BX79" s="194" t="str">
        <f>IF(Table2[[#This Row],[Counter Number]]="","",IF(Table2[[#This Row],[Lifetime CO Reduction (tons)]]=0,"NA",Table2[[#This Row],[Upgrade Cost Per Unit]]/Table2[[#This Row],[Lifetime CO Reduction (tons)]]))</f>
        <v/>
      </c>
      <c r="BY79" s="180" t="str">
        <f>IF(Table2[[#This Row],[Counter Number]]="","",Table2[[#This Row],[Old ULSD Used (gal):]]*VLOOKUP(Table2[[#This Row],[Engine Model Year:]],EF!$A$2:$G$27,7,FALSE))</f>
        <v/>
      </c>
      <c r="BZ7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9" s="195" t="str">
        <f>IF(Table2[[#This Row],[Counter Number]]="","",Table2[[#This Row],[Old Bus CO2 Emissions (tons/yr)]]-Table2[[#This Row],[New Bus CO2 Emissions (tons/yr)]])</f>
        <v/>
      </c>
      <c r="CB79" s="188" t="str">
        <f>IF(Table2[[#This Row],[Counter Number]]="","",Table2[[#This Row],[Reduction Bus CO2 Emissions (tons/yr)]]/Table2[[#This Row],[Old Bus CO2 Emissions (tons/yr)]])</f>
        <v/>
      </c>
      <c r="CC79" s="195" t="str">
        <f>IF(Table2[[#This Row],[Counter Number]]="","",Table2[[#This Row],[Reduction Bus CO2 Emissions (tons/yr)]]*Table2[[#This Row],[Remaining Life:]])</f>
        <v/>
      </c>
      <c r="CD79" s="194" t="str">
        <f>IF(Table2[[#This Row],[Counter Number]]="","",IF(Table2[[#This Row],[Lifetime CO2 Reduction (tons)]]=0,"NA",Table2[[#This Row],[Upgrade Cost Per Unit]]/Table2[[#This Row],[Lifetime CO2 Reduction (tons)]]))</f>
        <v/>
      </c>
      <c r="CE79" s="182" t="str">
        <f>IF(Table2[[#This Row],[Counter Number]]="","",IF(Table2[[#This Row],[New ULSD Used (gal):]]="",Table2[[#This Row],[Old ULSD Used (gal):]],Table2[[#This Row],[Old ULSD Used (gal):]]-Table2[[#This Row],[New ULSD Used (gal):]]))</f>
        <v/>
      </c>
      <c r="CF79" s="196" t="str">
        <f>IF(Table2[[#This Row],[Counter Number]]="","",Table2[[#This Row],[Diesel Fuel Reduction (gal/yr)]]/Table2[[#This Row],[Old ULSD Used (gal):]])</f>
        <v/>
      </c>
      <c r="CG79" s="197" t="str">
        <f>IF(Table2[[#This Row],[Counter Number]]="","",Table2[[#This Row],[Diesel Fuel Reduction (gal/yr)]]*Table2[[#This Row],[Remaining Life:]])</f>
        <v/>
      </c>
    </row>
    <row r="80" spans="1:85">
      <c r="A80" s="184" t="str">
        <f>IF(A79&lt;Application!$D$24,A79+1,"")</f>
        <v/>
      </c>
      <c r="B80" s="60" t="str">
        <f>IF(Table2[[#This Row],[Counter Number]]="","",Application!$D$16)</f>
        <v/>
      </c>
      <c r="C80" s="60" t="str">
        <f>IF(Table2[[#This Row],[Counter Number]]="","",Application!$D$14)</f>
        <v/>
      </c>
      <c r="D80" s="60" t="str">
        <f>IF(Table2[[#This Row],[Counter Number]]="","",Table1[[#This Row],[Old Bus Number]])</f>
        <v/>
      </c>
      <c r="E80" s="60" t="str">
        <f>IF(Table2[[#This Row],[Counter Number]]="","",Application!$D$15)</f>
        <v/>
      </c>
      <c r="F80" s="60" t="str">
        <f>IF(Table2[[#This Row],[Counter Number]]="","","On Highway")</f>
        <v/>
      </c>
      <c r="G80" s="60" t="str">
        <f>IF(Table2[[#This Row],[Counter Number]]="","",I80)</f>
        <v/>
      </c>
      <c r="H80" s="60" t="str">
        <f>IF(Table2[[#This Row],[Counter Number]]="","","Georgia")</f>
        <v/>
      </c>
      <c r="I80" s="60" t="str">
        <f>IF(Table2[[#This Row],[Counter Number]]="","",Application!$D$16)</f>
        <v/>
      </c>
      <c r="J80" s="60" t="str">
        <f>IF(Table2[[#This Row],[Counter Number]]="","",Application!$D$21)</f>
        <v/>
      </c>
      <c r="K80" s="60" t="str">
        <f>IF(Table2[[#This Row],[Counter Number]]="","",Application!$J$21)</f>
        <v/>
      </c>
      <c r="L80" s="60" t="str">
        <f>IF(Table2[[#This Row],[Counter Number]]="","","School Bus")</f>
        <v/>
      </c>
      <c r="M80" s="60" t="str">
        <f>IF(Table2[[#This Row],[Counter Number]]="","","School Bus")</f>
        <v/>
      </c>
      <c r="N80" s="60" t="str">
        <f>IF(Table2[[#This Row],[Counter Number]]="","",1)</f>
        <v/>
      </c>
      <c r="O80" s="60" t="str">
        <f>IF(Table2[[#This Row],[Counter Number]]="","",Table1[[#This Row],[Vehicle Identification Number(s):]])</f>
        <v/>
      </c>
      <c r="P80" s="60" t="str">
        <f>IF(Table2[[#This Row],[Counter Number]]="","",Table1[[#This Row],[Old Bus Manufacturer:]])</f>
        <v/>
      </c>
      <c r="Q80" s="60" t="str">
        <f>IF(Table2[[#This Row],[Counter Number]]="","",Table1[[#This Row],[Vehicle Model:]])</f>
        <v/>
      </c>
      <c r="R80" s="165" t="str">
        <f>IF(Table2[[#This Row],[Counter Number]]="","",Table1[[#This Row],[Vehicle Model Year:]])</f>
        <v/>
      </c>
      <c r="S80" s="60" t="str">
        <f>IF(Table2[[#This Row],[Counter Number]]="","",Table1[[#This Row],[Engine Serial Number(s):]])</f>
        <v/>
      </c>
      <c r="T80" s="60" t="str">
        <f>IF(Table2[[#This Row],[Counter Number]]="","",Table1[[#This Row],[Engine Make:]])</f>
        <v/>
      </c>
      <c r="U80" s="60" t="str">
        <f>IF(Table2[[#This Row],[Counter Number]]="","",Table1[[#This Row],[Engine Model:]])</f>
        <v/>
      </c>
      <c r="V80" s="165" t="str">
        <f>IF(Table2[[#This Row],[Counter Number]]="","",Table1[[#This Row],[Engine Model Year:]])</f>
        <v/>
      </c>
      <c r="W80" s="60" t="str">
        <f>IF(Table2[[#This Row],[Counter Number]]="","","NA")</f>
        <v/>
      </c>
      <c r="X80" s="165" t="str">
        <f>IF(Table2[[#This Row],[Counter Number]]="","",Table1[[#This Row],[Engine Horsepower (HP):]])</f>
        <v/>
      </c>
      <c r="Y80" s="165" t="str">
        <f>IF(Table2[[#This Row],[Counter Number]]="","",Table1[[#This Row],[Engine Cylinder Displacement (L):]]&amp;" L")</f>
        <v/>
      </c>
      <c r="Z80" s="165" t="str">
        <f>IF(Table2[[#This Row],[Counter Number]]="","",Table1[[#This Row],[Engine Number of Cylinders:]])</f>
        <v/>
      </c>
      <c r="AA80" s="166" t="str">
        <f>IF(Table2[[#This Row],[Counter Number]]="","",Table1[[#This Row],[Engine Family Name:]])</f>
        <v/>
      </c>
      <c r="AB80" s="60" t="str">
        <f>IF(Table2[[#This Row],[Counter Number]]="","","ULSD")</f>
        <v/>
      </c>
      <c r="AC80" s="167" t="str">
        <f>IF(Table2[[#This Row],[Counter Number]]="","",Table2[[#This Row],[Annual Miles Traveled:]]/Table1[[#This Row],[Old Fuel (mpg)]])</f>
        <v/>
      </c>
      <c r="AD80" s="60" t="str">
        <f>IF(Table2[[#This Row],[Counter Number]]="","","NA")</f>
        <v/>
      </c>
      <c r="AE80" s="168" t="str">
        <f>IF(Table2[[#This Row],[Counter Number]]="","",Table1[[#This Row],[Annual Miles Traveled]])</f>
        <v/>
      </c>
      <c r="AF80" s="169" t="str">
        <f>IF(Table2[[#This Row],[Counter Number]]="","",Table1[[#This Row],[Annual Idling Hours:]])</f>
        <v/>
      </c>
      <c r="AG80" s="60" t="str">
        <f>IF(Table2[[#This Row],[Counter Number]]="","","NA")</f>
        <v/>
      </c>
      <c r="AH80" s="165" t="str">
        <f>IF(Table2[[#This Row],[Counter Number]]="","",IF(Application!$J$25="Set Policy",Table1[[#This Row],[Remaining Life (years)         Set Policy]],Table1[[#This Row],[Remaining Life (years)               Case-by-Case]]))</f>
        <v/>
      </c>
      <c r="AI80" s="165" t="str">
        <f>IF(Table2[[#This Row],[Counter Number]]="","",IF(Application!$J$25="Case-by-Case","NA",Table2[[#This Row],[Fiscal Year of EPA Funds Used:]]+Table2[[#This Row],[Remaining Life:]]))</f>
        <v/>
      </c>
      <c r="AJ80" s="165"/>
      <c r="AK80" s="170" t="str">
        <f>IF(Table2[[#This Row],[Counter Number]]="","",Application!$D$14+1)</f>
        <v/>
      </c>
      <c r="AL80" s="60" t="str">
        <f>IF(Table2[[#This Row],[Counter Number]]="","","Vehicle Replacement")</f>
        <v/>
      </c>
      <c r="AM8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0" s="171" t="str">
        <f>IF(Table2[[#This Row],[Counter Number]]="","",Table1[[#This Row],[Cost of New Bus:]])</f>
        <v/>
      </c>
      <c r="AO80" s="60" t="str">
        <f>IF(Table2[[#This Row],[Counter Number]]="","","NA")</f>
        <v/>
      </c>
      <c r="AP80" s="165" t="str">
        <f>IF(Table2[[#This Row],[Counter Number]]="","",Table1[[#This Row],[New Engine Model Year:]])</f>
        <v/>
      </c>
      <c r="AQ80" s="60" t="str">
        <f>IF(Table2[[#This Row],[Counter Number]]="","","NA")</f>
        <v/>
      </c>
      <c r="AR80" s="165" t="str">
        <f>IF(Table2[[#This Row],[Counter Number]]="","",Table1[[#This Row],[New Engine Horsepower (HP):]])</f>
        <v/>
      </c>
      <c r="AS80" s="60" t="str">
        <f>IF(Table2[[#This Row],[Counter Number]]="","","NA")</f>
        <v/>
      </c>
      <c r="AT80" s="165" t="str">
        <f>IF(Table2[[#This Row],[Counter Number]]="","",Table1[[#This Row],[New Engine Cylinder Displacement (L):]]&amp;" L")</f>
        <v/>
      </c>
      <c r="AU80" s="114" t="str">
        <f>IF(Table2[[#This Row],[Counter Number]]="","",Table1[[#This Row],[New Engine Number of Cylinders:]])</f>
        <v/>
      </c>
      <c r="AV80" s="60" t="str">
        <f>IF(Table2[[#This Row],[Counter Number]]="","",Table1[[#This Row],[New Engine Family Name:]])</f>
        <v/>
      </c>
      <c r="AW8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0" s="60" t="str">
        <f>IF(Table2[[#This Row],[Counter Number]]="","","NA")</f>
        <v/>
      </c>
      <c r="AY80" s="172" t="str">
        <f>IF(Table2[[#This Row],[Counter Number]]="","",IF(Table2[[#This Row],[New Engine Fuel Type:]]="ULSD",Table1[[#This Row],[Annual Miles Traveled]]/Table1[[#This Row],[New Fuel (mpg) if Diesel]],""))</f>
        <v/>
      </c>
      <c r="AZ80" s="60"/>
      <c r="BA80" s="173" t="str">
        <f>IF(Table2[[#This Row],[Counter Number]]="","",Table2[[#This Row],[Annual Miles Traveled:]]*VLOOKUP(Table2[[#This Row],[Engine Model Year:]],EFTable[],3,FALSE))</f>
        <v/>
      </c>
      <c r="BB80" s="173" t="str">
        <f>IF(Table2[[#This Row],[Counter Number]]="","",Table2[[#This Row],[Annual Miles Traveled:]]*IF(Table2[[#This Row],[New Engine Fuel Type:]]="ULSD",VLOOKUP(Table2[[#This Row],[New Engine Model Year:]],EFTable[],3,FALSE),VLOOKUP(Table2[[#This Row],[New Engine Fuel Type:]],EFTable[],3,FALSE)))</f>
        <v/>
      </c>
      <c r="BC80" s="187" t="str">
        <f>IF(Table2[[#This Row],[Counter Number]]="","",Table2[[#This Row],[Old Bus NOx Emissions (tons/yr)]]-Table2[[#This Row],[New Bus NOx Emissions (tons/yr)]])</f>
        <v/>
      </c>
      <c r="BD80" s="188" t="str">
        <f>IF(Table2[[#This Row],[Counter Number]]="","",Table2[[#This Row],[Reduction Bus NOx Emissions (tons/yr)]]/Table2[[#This Row],[Old Bus NOx Emissions (tons/yr)]])</f>
        <v/>
      </c>
      <c r="BE80" s="175" t="str">
        <f>IF(Table2[[#This Row],[Counter Number]]="","",Table2[[#This Row],[Reduction Bus NOx Emissions (tons/yr)]]*Table2[[#This Row],[Remaining Life:]])</f>
        <v/>
      </c>
      <c r="BF80" s="189" t="str">
        <f>IF(Table2[[#This Row],[Counter Number]]="","",IF(Table2[[#This Row],[Lifetime NOx Reduction (tons)]]=0,"NA",Table2[[#This Row],[Upgrade Cost Per Unit]]/Table2[[#This Row],[Lifetime NOx Reduction (tons)]]))</f>
        <v/>
      </c>
      <c r="BG80" s="190" t="str">
        <f>IF(Table2[[#This Row],[Counter Number]]="","",Table2[[#This Row],[Annual Miles Traveled:]]*VLOOKUP(Table2[[#This Row],[Engine Model Year:]],EF!$A$2:$G$27,4,FALSE))</f>
        <v/>
      </c>
      <c r="BH80" s="173" t="str">
        <f>IF(Table2[[#This Row],[Counter Number]]="","",Table2[[#This Row],[Annual Miles Traveled:]]*IF(Table2[[#This Row],[New Engine Fuel Type:]]="ULSD",VLOOKUP(Table2[[#This Row],[New Engine Model Year:]],EFTable[],4,FALSE),VLOOKUP(Table2[[#This Row],[New Engine Fuel Type:]],EFTable[],4,FALSE)))</f>
        <v/>
      </c>
      <c r="BI80" s="191" t="str">
        <f>IF(Table2[[#This Row],[Counter Number]]="","",Table2[[#This Row],[Old Bus PM2.5 Emissions (tons/yr)]]-Table2[[#This Row],[New Bus PM2.5 Emissions (tons/yr)]])</f>
        <v/>
      </c>
      <c r="BJ80" s="192" t="str">
        <f>IF(Table2[[#This Row],[Counter Number]]="","",Table2[[#This Row],[Reduction Bus PM2.5 Emissions (tons/yr)]]/Table2[[#This Row],[Old Bus PM2.5 Emissions (tons/yr)]])</f>
        <v/>
      </c>
      <c r="BK80" s="193" t="str">
        <f>IF(Table2[[#This Row],[Counter Number]]="","",Table2[[#This Row],[Reduction Bus PM2.5 Emissions (tons/yr)]]*Table2[[#This Row],[Remaining Life:]])</f>
        <v/>
      </c>
      <c r="BL80" s="194" t="str">
        <f>IF(Table2[[#This Row],[Counter Number]]="","",IF(Table2[[#This Row],[Lifetime PM2.5 Reduction (tons)]]=0,"NA",Table2[[#This Row],[Upgrade Cost Per Unit]]/Table2[[#This Row],[Lifetime PM2.5 Reduction (tons)]]))</f>
        <v/>
      </c>
      <c r="BM80" s="179" t="str">
        <f>IF(Table2[[#This Row],[Counter Number]]="","",Table2[[#This Row],[Annual Miles Traveled:]]*VLOOKUP(Table2[[#This Row],[Engine Model Year:]],EF!$A$2:$G$40,5,FALSE))</f>
        <v/>
      </c>
      <c r="BN80" s="173" t="str">
        <f>IF(Table2[[#This Row],[Counter Number]]="","",Table2[[#This Row],[Annual Miles Traveled:]]*IF(Table2[[#This Row],[New Engine Fuel Type:]]="ULSD",VLOOKUP(Table2[[#This Row],[New Engine Model Year:]],EFTable[],5,FALSE),VLOOKUP(Table2[[#This Row],[New Engine Fuel Type:]],EFTable[],5,FALSE)))</f>
        <v/>
      </c>
      <c r="BO80" s="190" t="str">
        <f>IF(Table2[[#This Row],[Counter Number]]="","",Table2[[#This Row],[Old Bus HC Emissions (tons/yr)]]-Table2[[#This Row],[New Bus HC Emissions (tons/yr)]])</f>
        <v/>
      </c>
      <c r="BP80" s="188" t="str">
        <f>IF(Table2[[#This Row],[Counter Number]]="","",Table2[[#This Row],[Reduction Bus HC Emissions (tons/yr)]]/Table2[[#This Row],[Old Bus HC Emissions (tons/yr)]])</f>
        <v/>
      </c>
      <c r="BQ80" s="193" t="str">
        <f>IF(Table2[[#This Row],[Counter Number]]="","",Table2[[#This Row],[Reduction Bus HC Emissions (tons/yr)]]*Table2[[#This Row],[Remaining Life:]])</f>
        <v/>
      </c>
      <c r="BR80" s="194" t="str">
        <f>IF(Table2[[#This Row],[Counter Number]]="","",IF(Table2[[#This Row],[Lifetime HC Reduction (tons)]]=0,"NA",Table2[[#This Row],[Upgrade Cost Per Unit]]/Table2[[#This Row],[Lifetime HC Reduction (tons)]]))</f>
        <v/>
      </c>
      <c r="BS80" s="191" t="str">
        <f>IF(Table2[[#This Row],[Counter Number]]="","",Table2[[#This Row],[Annual Miles Traveled:]]*VLOOKUP(Table2[[#This Row],[Engine Model Year:]],EF!$A$2:$G$27,6,FALSE))</f>
        <v/>
      </c>
      <c r="BT80" s="173" t="str">
        <f>IF(Table2[[#This Row],[Counter Number]]="","",Table2[[#This Row],[Annual Miles Traveled:]]*IF(Table2[[#This Row],[New Engine Fuel Type:]]="ULSD",VLOOKUP(Table2[[#This Row],[New Engine Model Year:]],EFTable[],6,FALSE),VLOOKUP(Table2[[#This Row],[New Engine Fuel Type:]],EFTable[],6,FALSE)))</f>
        <v/>
      </c>
      <c r="BU80" s="190" t="str">
        <f>IF(Table2[[#This Row],[Counter Number]]="","",Table2[[#This Row],[Old Bus CO Emissions (tons/yr)]]-Table2[[#This Row],[New Bus CO Emissions (tons/yr)]])</f>
        <v/>
      </c>
      <c r="BV80" s="188" t="str">
        <f>IF(Table2[[#This Row],[Counter Number]]="","",Table2[[#This Row],[Reduction Bus CO Emissions (tons/yr)]]/Table2[[#This Row],[Old Bus CO Emissions (tons/yr)]])</f>
        <v/>
      </c>
      <c r="BW80" s="193" t="str">
        <f>IF(Table2[[#This Row],[Counter Number]]="","",Table2[[#This Row],[Reduction Bus CO Emissions (tons/yr)]]*Table2[[#This Row],[Remaining Life:]])</f>
        <v/>
      </c>
      <c r="BX80" s="194" t="str">
        <f>IF(Table2[[#This Row],[Counter Number]]="","",IF(Table2[[#This Row],[Lifetime CO Reduction (tons)]]=0,"NA",Table2[[#This Row],[Upgrade Cost Per Unit]]/Table2[[#This Row],[Lifetime CO Reduction (tons)]]))</f>
        <v/>
      </c>
      <c r="BY80" s="180" t="str">
        <f>IF(Table2[[#This Row],[Counter Number]]="","",Table2[[#This Row],[Old ULSD Used (gal):]]*VLOOKUP(Table2[[#This Row],[Engine Model Year:]],EF!$A$2:$G$27,7,FALSE))</f>
        <v/>
      </c>
      <c r="BZ8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0" s="195" t="str">
        <f>IF(Table2[[#This Row],[Counter Number]]="","",Table2[[#This Row],[Old Bus CO2 Emissions (tons/yr)]]-Table2[[#This Row],[New Bus CO2 Emissions (tons/yr)]])</f>
        <v/>
      </c>
      <c r="CB80" s="188" t="str">
        <f>IF(Table2[[#This Row],[Counter Number]]="","",Table2[[#This Row],[Reduction Bus CO2 Emissions (tons/yr)]]/Table2[[#This Row],[Old Bus CO2 Emissions (tons/yr)]])</f>
        <v/>
      </c>
      <c r="CC80" s="195" t="str">
        <f>IF(Table2[[#This Row],[Counter Number]]="","",Table2[[#This Row],[Reduction Bus CO2 Emissions (tons/yr)]]*Table2[[#This Row],[Remaining Life:]])</f>
        <v/>
      </c>
      <c r="CD80" s="194" t="str">
        <f>IF(Table2[[#This Row],[Counter Number]]="","",IF(Table2[[#This Row],[Lifetime CO2 Reduction (tons)]]=0,"NA",Table2[[#This Row],[Upgrade Cost Per Unit]]/Table2[[#This Row],[Lifetime CO2 Reduction (tons)]]))</f>
        <v/>
      </c>
      <c r="CE80" s="182" t="str">
        <f>IF(Table2[[#This Row],[Counter Number]]="","",IF(Table2[[#This Row],[New ULSD Used (gal):]]="",Table2[[#This Row],[Old ULSD Used (gal):]],Table2[[#This Row],[Old ULSD Used (gal):]]-Table2[[#This Row],[New ULSD Used (gal):]]))</f>
        <v/>
      </c>
      <c r="CF80" s="196" t="str">
        <f>IF(Table2[[#This Row],[Counter Number]]="","",Table2[[#This Row],[Diesel Fuel Reduction (gal/yr)]]/Table2[[#This Row],[Old ULSD Used (gal):]])</f>
        <v/>
      </c>
      <c r="CG80" s="197" t="str">
        <f>IF(Table2[[#This Row],[Counter Number]]="","",Table2[[#This Row],[Diesel Fuel Reduction (gal/yr)]]*Table2[[#This Row],[Remaining Life:]])</f>
        <v/>
      </c>
    </row>
    <row r="81" spans="1:85">
      <c r="A81" s="184" t="str">
        <f>IF(A80&lt;Application!$D$24,A80+1,"")</f>
        <v/>
      </c>
      <c r="B81" s="60" t="str">
        <f>IF(Table2[[#This Row],[Counter Number]]="","",Application!$D$16)</f>
        <v/>
      </c>
      <c r="C81" s="60" t="str">
        <f>IF(Table2[[#This Row],[Counter Number]]="","",Application!$D$14)</f>
        <v/>
      </c>
      <c r="D81" s="60" t="str">
        <f>IF(Table2[[#This Row],[Counter Number]]="","",Table1[[#This Row],[Old Bus Number]])</f>
        <v/>
      </c>
      <c r="E81" s="60" t="str">
        <f>IF(Table2[[#This Row],[Counter Number]]="","",Application!$D$15)</f>
        <v/>
      </c>
      <c r="F81" s="60" t="str">
        <f>IF(Table2[[#This Row],[Counter Number]]="","","On Highway")</f>
        <v/>
      </c>
      <c r="G81" s="60" t="str">
        <f>IF(Table2[[#This Row],[Counter Number]]="","",I81)</f>
        <v/>
      </c>
      <c r="H81" s="60" t="str">
        <f>IF(Table2[[#This Row],[Counter Number]]="","","Georgia")</f>
        <v/>
      </c>
      <c r="I81" s="60" t="str">
        <f>IF(Table2[[#This Row],[Counter Number]]="","",Application!$D$16)</f>
        <v/>
      </c>
      <c r="J81" s="60" t="str">
        <f>IF(Table2[[#This Row],[Counter Number]]="","",Application!$D$21)</f>
        <v/>
      </c>
      <c r="K81" s="60" t="str">
        <f>IF(Table2[[#This Row],[Counter Number]]="","",Application!$J$21)</f>
        <v/>
      </c>
      <c r="L81" s="60" t="str">
        <f>IF(Table2[[#This Row],[Counter Number]]="","","School Bus")</f>
        <v/>
      </c>
      <c r="M81" s="60" t="str">
        <f>IF(Table2[[#This Row],[Counter Number]]="","","School Bus")</f>
        <v/>
      </c>
      <c r="N81" s="60" t="str">
        <f>IF(Table2[[#This Row],[Counter Number]]="","",1)</f>
        <v/>
      </c>
      <c r="O81" s="60" t="str">
        <f>IF(Table2[[#This Row],[Counter Number]]="","",Table1[[#This Row],[Vehicle Identification Number(s):]])</f>
        <v/>
      </c>
      <c r="P81" s="60" t="str">
        <f>IF(Table2[[#This Row],[Counter Number]]="","",Table1[[#This Row],[Old Bus Manufacturer:]])</f>
        <v/>
      </c>
      <c r="Q81" s="60" t="str">
        <f>IF(Table2[[#This Row],[Counter Number]]="","",Table1[[#This Row],[Vehicle Model:]])</f>
        <v/>
      </c>
      <c r="R81" s="165" t="str">
        <f>IF(Table2[[#This Row],[Counter Number]]="","",Table1[[#This Row],[Vehicle Model Year:]])</f>
        <v/>
      </c>
      <c r="S81" s="60" t="str">
        <f>IF(Table2[[#This Row],[Counter Number]]="","",Table1[[#This Row],[Engine Serial Number(s):]])</f>
        <v/>
      </c>
      <c r="T81" s="60" t="str">
        <f>IF(Table2[[#This Row],[Counter Number]]="","",Table1[[#This Row],[Engine Make:]])</f>
        <v/>
      </c>
      <c r="U81" s="60" t="str">
        <f>IF(Table2[[#This Row],[Counter Number]]="","",Table1[[#This Row],[Engine Model:]])</f>
        <v/>
      </c>
      <c r="V81" s="165" t="str">
        <f>IF(Table2[[#This Row],[Counter Number]]="","",Table1[[#This Row],[Engine Model Year:]])</f>
        <v/>
      </c>
      <c r="W81" s="60" t="str">
        <f>IF(Table2[[#This Row],[Counter Number]]="","","NA")</f>
        <v/>
      </c>
      <c r="X81" s="165" t="str">
        <f>IF(Table2[[#This Row],[Counter Number]]="","",Table1[[#This Row],[Engine Horsepower (HP):]])</f>
        <v/>
      </c>
      <c r="Y81" s="165" t="str">
        <f>IF(Table2[[#This Row],[Counter Number]]="","",Table1[[#This Row],[Engine Cylinder Displacement (L):]]&amp;" L")</f>
        <v/>
      </c>
      <c r="Z81" s="165" t="str">
        <f>IF(Table2[[#This Row],[Counter Number]]="","",Table1[[#This Row],[Engine Number of Cylinders:]])</f>
        <v/>
      </c>
      <c r="AA81" s="166" t="str">
        <f>IF(Table2[[#This Row],[Counter Number]]="","",Table1[[#This Row],[Engine Family Name:]])</f>
        <v/>
      </c>
      <c r="AB81" s="60" t="str">
        <f>IF(Table2[[#This Row],[Counter Number]]="","","ULSD")</f>
        <v/>
      </c>
      <c r="AC81" s="167" t="str">
        <f>IF(Table2[[#This Row],[Counter Number]]="","",Table2[[#This Row],[Annual Miles Traveled:]]/Table1[[#This Row],[Old Fuel (mpg)]])</f>
        <v/>
      </c>
      <c r="AD81" s="60" t="str">
        <f>IF(Table2[[#This Row],[Counter Number]]="","","NA")</f>
        <v/>
      </c>
      <c r="AE81" s="168" t="str">
        <f>IF(Table2[[#This Row],[Counter Number]]="","",Table1[[#This Row],[Annual Miles Traveled]])</f>
        <v/>
      </c>
      <c r="AF81" s="169" t="str">
        <f>IF(Table2[[#This Row],[Counter Number]]="","",Table1[[#This Row],[Annual Idling Hours:]])</f>
        <v/>
      </c>
      <c r="AG81" s="60" t="str">
        <f>IF(Table2[[#This Row],[Counter Number]]="","","NA")</f>
        <v/>
      </c>
      <c r="AH81" s="165" t="str">
        <f>IF(Table2[[#This Row],[Counter Number]]="","",IF(Application!$J$25="Set Policy",Table1[[#This Row],[Remaining Life (years)         Set Policy]],Table1[[#This Row],[Remaining Life (years)               Case-by-Case]]))</f>
        <v/>
      </c>
      <c r="AI81" s="165" t="str">
        <f>IF(Table2[[#This Row],[Counter Number]]="","",IF(Application!$J$25="Case-by-Case","NA",Table2[[#This Row],[Fiscal Year of EPA Funds Used:]]+Table2[[#This Row],[Remaining Life:]]))</f>
        <v/>
      </c>
      <c r="AJ81" s="165"/>
      <c r="AK81" s="170" t="str">
        <f>IF(Table2[[#This Row],[Counter Number]]="","",Application!$D$14+1)</f>
        <v/>
      </c>
      <c r="AL81" s="60" t="str">
        <f>IF(Table2[[#This Row],[Counter Number]]="","","Vehicle Replacement")</f>
        <v/>
      </c>
      <c r="AM8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1" s="171" t="str">
        <f>IF(Table2[[#This Row],[Counter Number]]="","",Table1[[#This Row],[Cost of New Bus:]])</f>
        <v/>
      </c>
      <c r="AO81" s="60" t="str">
        <f>IF(Table2[[#This Row],[Counter Number]]="","","NA")</f>
        <v/>
      </c>
      <c r="AP81" s="165" t="str">
        <f>IF(Table2[[#This Row],[Counter Number]]="","",Table1[[#This Row],[New Engine Model Year:]])</f>
        <v/>
      </c>
      <c r="AQ81" s="60" t="str">
        <f>IF(Table2[[#This Row],[Counter Number]]="","","NA")</f>
        <v/>
      </c>
      <c r="AR81" s="165" t="str">
        <f>IF(Table2[[#This Row],[Counter Number]]="","",Table1[[#This Row],[New Engine Horsepower (HP):]])</f>
        <v/>
      </c>
      <c r="AS81" s="60" t="str">
        <f>IF(Table2[[#This Row],[Counter Number]]="","","NA")</f>
        <v/>
      </c>
      <c r="AT81" s="165" t="str">
        <f>IF(Table2[[#This Row],[Counter Number]]="","",Table1[[#This Row],[New Engine Cylinder Displacement (L):]]&amp;" L")</f>
        <v/>
      </c>
      <c r="AU81" s="114" t="str">
        <f>IF(Table2[[#This Row],[Counter Number]]="","",Table1[[#This Row],[New Engine Number of Cylinders:]])</f>
        <v/>
      </c>
      <c r="AV81" s="60" t="str">
        <f>IF(Table2[[#This Row],[Counter Number]]="","",Table1[[#This Row],[New Engine Family Name:]])</f>
        <v/>
      </c>
      <c r="AW8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1" s="60" t="str">
        <f>IF(Table2[[#This Row],[Counter Number]]="","","NA")</f>
        <v/>
      </c>
      <c r="AY81" s="172" t="str">
        <f>IF(Table2[[#This Row],[Counter Number]]="","",IF(Table2[[#This Row],[New Engine Fuel Type:]]="ULSD",Table1[[#This Row],[Annual Miles Traveled]]/Table1[[#This Row],[New Fuel (mpg) if Diesel]],""))</f>
        <v/>
      </c>
      <c r="AZ81" s="60"/>
      <c r="BA81" s="173" t="str">
        <f>IF(Table2[[#This Row],[Counter Number]]="","",Table2[[#This Row],[Annual Miles Traveled:]]*VLOOKUP(Table2[[#This Row],[Engine Model Year:]],EFTable[],3,FALSE))</f>
        <v/>
      </c>
      <c r="BB81" s="173" t="str">
        <f>IF(Table2[[#This Row],[Counter Number]]="","",Table2[[#This Row],[Annual Miles Traveled:]]*IF(Table2[[#This Row],[New Engine Fuel Type:]]="ULSD",VLOOKUP(Table2[[#This Row],[New Engine Model Year:]],EFTable[],3,FALSE),VLOOKUP(Table2[[#This Row],[New Engine Fuel Type:]],EFTable[],3,FALSE)))</f>
        <v/>
      </c>
      <c r="BC81" s="187" t="str">
        <f>IF(Table2[[#This Row],[Counter Number]]="","",Table2[[#This Row],[Old Bus NOx Emissions (tons/yr)]]-Table2[[#This Row],[New Bus NOx Emissions (tons/yr)]])</f>
        <v/>
      </c>
      <c r="BD81" s="188" t="str">
        <f>IF(Table2[[#This Row],[Counter Number]]="","",Table2[[#This Row],[Reduction Bus NOx Emissions (tons/yr)]]/Table2[[#This Row],[Old Bus NOx Emissions (tons/yr)]])</f>
        <v/>
      </c>
      <c r="BE81" s="175" t="str">
        <f>IF(Table2[[#This Row],[Counter Number]]="","",Table2[[#This Row],[Reduction Bus NOx Emissions (tons/yr)]]*Table2[[#This Row],[Remaining Life:]])</f>
        <v/>
      </c>
      <c r="BF81" s="189" t="str">
        <f>IF(Table2[[#This Row],[Counter Number]]="","",IF(Table2[[#This Row],[Lifetime NOx Reduction (tons)]]=0,"NA",Table2[[#This Row],[Upgrade Cost Per Unit]]/Table2[[#This Row],[Lifetime NOx Reduction (tons)]]))</f>
        <v/>
      </c>
      <c r="BG81" s="190" t="str">
        <f>IF(Table2[[#This Row],[Counter Number]]="","",Table2[[#This Row],[Annual Miles Traveled:]]*VLOOKUP(Table2[[#This Row],[Engine Model Year:]],EF!$A$2:$G$27,4,FALSE))</f>
        <v/>
      </c>
      <c r="BH81" s="173" t="str">
        <f>IF(Table2[[#This Row],[Counter Number]]="","",Table2[[#This Row],[Annual Miles Traveled:]]*IF(Table2[[#This Row],[New Engine Fuel Type:]]="ULSD",VLOOKUP(Table2[[#This Row],[New Engine Model Year:]],EFTable[],4,FALSE),VLOOKUP(Table2[[#This Row],[New Engine Fuel Type:]],EFTable[],4,FALSE)))</f>
        <v/>
      </c>
      <c r="BI81" s="191" t="str">
        <f>IF(Table2[[#This Row],[Counter Number]]="","",Table2[[#This Row],[Old Bus PM2.5 Emissions (tons/yr)]]-Table2[[#This Row],[New Bus PM2.5 Emissions (tons/yr)]])</f>
        <v/>
      </c>
      <c r="BJ81" s="192" t="str">
        <f>IF(Table2[[#This Row],[Counter Number]]="","",Table2[[#This Row],[Reduction Bus PM2.5 Emissions (tons/yr)]]/Table2[[#This Row],[Old Bus PM2.5 Emissions (tons/yr)]])</f>
        <v/>
      </c>
      <c r="BK81" s="193" t="str">
        <f>IF(Table2[[#This Row],[Counter Number]]="","",Table2[[#This Row],[Reduction Bus PM2.5 Emissions (tons/yr)]]*Table2[[#This Row],[Remaining Life:]])</f>
        <v/>
      </c>
      <c r="BL81" s="194" t="str">
        <f>IF(Table2[[#This Row],[Counter Number]]="","",IF(Table2[[#This Row],[Lifetime PM2.5 Reduction (tons)]]=0,"NA",Table2[[#This Row],[Upgrade Cost Per Unit]]/Table2[[#This Row],[Lifetime PM2.5 Reduction (tons)]]))</f>
        <v/>
      </c>
      <c r="BM81" s="179" t="str">
        <f>IF(Table2[[#This Row],[Counter Number]]="","",Table2[[#This Row],[Annual Miles Traveled:]]*VLOOKUP(Table2[[#This Row],[Engine Model Year:]],EF!$A$2:$G$40,5,FALSE))</f>
        <v/>
      </c>
      <c r="BN81" s="173" t="str">
        <f>IF(Table2[[#This Row],[Counter Number]]="","",Table2[[#This Row],[Annual Miles Traveled:]]*IF(Table2[[#This Row],[New Engine Fuel Type:]]="ULSD",VLOOKUP(Table2[[#This Row],[New Engine Model Year:]],EFTable[],5,FALSE),VLOOKUP(Table2[[#This Row],[New Engine Fuel Type:]],EFTable[],5,FALSE)))</f>
        <v/>
      </c>
      <c r="BO81" s="190" t="str">
        <f>IF(Table2[[#This Row],[Counter Number]]="","",Table2[[#This Row],[Old Bus HC Emissions (tons/yr)]]-Table2[[#This Row],[New Bus HC Emissions (tons/yr)]])</f>
        <v/>
      </c>
      <c r="BP81" s="188" t="str">
        <f>IF(Table2[[#This Row],[Counter Number]]="","",Table2[[#This Row],[Reduction Bus HC Emissions (tons/yr)]]/Table2[[#This Row],[Old Bus HC Emissions (tons/yr)]])</f>
        <v/>
      </c>
      <c r="BQ81" s="193" t="str">
        <f>IF(Table2[[#This Row],[Counter Number]]="","",Table2[[#This Row],[Reduction Bus HC Emissions (tons/yr)]]*Table2[[#This Row],[Remaining Life:]])</f>
        <v/>
      </c>
      <c r="BR81" s="194" t="str">
        <f>IF(Table2[[#This Row],[Counter Number]]="","",IF(Table2[[#This Row],[Lifetime HC Reduction (tons)]]=0,"NA",Table2[[#This Row],[Upgrade Cost Per Unit]]/Table2[[#This Row],[Lifetime HC Reduction (tons)]]))</f>
        <v/>
      </c>
      <c r="BS81" s="191" t="str">
        <f>IF(Table2[[#This Row],[Counter Number]]="","",Table2[[#This Row],[Annual Miles Traveled:]]*VLOOKUP(Table2[[#This Row],[Engine Model Year:]],EF!$A$2:$G$27,6,FALSE))</f>
        <v/>
      </c>
      <c r="BT81" s="173" t="str">
        <f>IF(Table2[[#This Row],[Counter Number]]="","",Table2[[#This Row],[Annual Miles Traveled:]]*IF(Table2[[#This Row],[New Engine Fuel Type:]]="ULSD",VLOOKUP(Table2[[#This Row],[New Engine Model Year:]],EFTable[],6,FALSE),VLOOKUP(Table2[[#This Row],[New Engine Fuel Type:]],EFTable[],6,FALSE)))</f>
        <v/>
      </c>
      <c r="BU81" s="190" t="str">
        <f>IF(Table2[[#This Row],[Counter Number]]="","",Table2[[#This Row],[Old Bus CO Emissions (tons/yr)]]-Table2[[#This Row],[New Bus CO Emissions (tons/yr)]])</f>
        <v/>
      </c>
      <c r="BV81" s="188" t="str">
        <f>IF(Table2[[#This Row],[Counter Number]]="","",Table2[[#This Row],[Reduction Bus CO Emissions (tons/yr)]]/Table2[[#This Row],[Old Bus CO Emissions (tons/yr)]])</f>
        <v/>
      </c>
      <c r="BW81" s="193" t="str">
        <f>IF(Table2[[#This Row],[Counter Number]]="","",Table2[[#This Row],[Reduction Bus CO Emissions (tons/yr)]]*Table2[[#This Row],[Remaining Life:]])</f>
        <v/>
      </c>
      <c r="BX81" s="194" t="str">
        <f>IF(Table2[[#This Row],[Counter Number]]="","",IF(Table2[[#This Row],[Lifetime CO Reduction (tons)]]=0,"NA",Table2[[#This Row],[Upgrade Cost Per Unit]]/Table2[[#This Row],[Lifetime CO Reduction (tons)]]))</f>
        <v/>
      </c>
      <c r="BY81" s="180" t="str">
        <f>IF(Table2[[#This Row],[Counter Number]]="","",Table2[[#This Row],[Old ULSD Used (gal):]]*VLOOKUP(Table2[[#This Row],[Engine Model Year:]],EF!$A$2:$G$27,7,FALSE))</f>
        <v/>
      </c>
      <c r="BZ8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1" s="195" t="str">
        <f>IF(Table2[[#This Row],[Counter Number]]="","",Table2[[#This Row],[Old Bus CO2 Emissions (tons/yr)]]-Table2[[#This Row],[New Bus CO2 Emissions (tons/yr)]])</f>
        <v/>
      </c>
      <c r="CB81" s="188" t="str">
        <f>IF(Table2[[#This Row],[Counter Number]]="","",Table2[[#This Row],[Reduction Bus CO2 Emissions (tons/yr)]]/Table2[[#This Row],[Old Bus CO2 Emissions (tons/yr)]])</f>
        <v/>
      </c>
      <c r="CC81" s="195" t="str">
        <f>IF(Table2[[#This Row],[Counter Number]]="","",Table2[[#This Row],[Reduction Bus CO2 Emissions (tons/yr)]]*Table2[[#This Row],[Remaining Life:]])</f>
        <v/>
      </c>
      <c r="CD81" s="194" t="str">
        <f>IF(Table2[[#This Row],[Counter Number]]="","",IF(Table2[[#This Row],[Lifetime CO2 Reduction (tons)]]=0,"NA",Table2[[#This Row],[Upgrade Cost Per Unit]]/Table2[[#This Row],[Lifetime CO2 Reduction (tons)]]))</f>
        <v/>
      </c>
      <c r="CE81" s="182" t="str">
        <f>IF(Table2[[#This Row],[Counter Number]]="","",IF(Table2[[#This Row],[New ULSD Used (gal):]]="",Table2[[#This Row],[Old ULSD Used (gal):]],Table2[[#This Row],[Old ULSD Used (gal):]]-Table2[[#This Row],[New ULSD Used (gal):]]))</f>
        <v/>
      </c>
      <c r="CF81" s="196" t="str">
        <f>IF(Table2[[#This Row],[Counter Number]]="","",Table2[[#This Row],[Diesel Fuel Reduction (gal/yr)]]/Table2[[#This Row],[Old ULSD Used (gal):]])</f>
        <v/>
      </c>
      <c r="CG81" s="197" t="str">
        <f>IF(Table2[[#This Row],[Counter Number]]="","",Table2[[#This Row],[Diesel Fuel Reduction (gal/yr)]]*Table2[[#This Row],[Remaining Life:]])</f>
        <v/>
      </c>
    </row>
    <row r="82" spans="1:85">
      <c r="A82" s="184" t="str">
        <f>IF(A81&lt;Application!$D$24,A81+1,"")</f>
        <v/>
      </c>
      <c r="B82" s="60" t="str">
        <f>IF(Table2[[#This Row],[Counter Number]]="","",Application!$D$16)</f>
        <v/>
      </c>
      <c r="C82" s="60" t="str">
        <f>IF(Table2[[#This Row],[Counter Number]]="","",Application!$D$14)</f>
        <v/>
      </c>
      <c r="D82" s="60" t="str">
        <f>IF(Table2[[#This Row],[Counter Number]]="","",Table1[[#This Row],[Old Bus Number]])</f>
        <v/>
      </c>
      <c r="E82" s="60" t="str">
        <f>IF(Table2[[#This Row],[Counter Number]]="","",Application!$D$15)</f>
        <v/>
      </c>
      <c r="F82" s="60" t="str">
        <f>IF(Table2[[#This Row],[Counter Number]]="","","On Highway")</f>
        <v/>
      </c>
      <c r="G82" s="60" t="str">
        <f>IF(Table2[[#This Row],[Counter Number]]="","",I82)</f>
        <v/>
      </c>
      <c r="H82" s="60" t="str">
        <f>IF(Table2[[#This Row],[Counter Number]]="","","Georgia")</f>
        <v/>
      </c>
      <c r="I82" s="60" t="str">
        <f>IF(Table2[[#This Row],[Counter Number]]="","",Application!$D$16)</f>
        <v/>
      </c>
      <c r="J82" s="60" t="str">
        <f>IF(Table2[[#This Row],[Counter Number]]="","",Application!$D$21)</f>
        <v/>
      </c>
      <c r="K82" s="60" t="str">
        <f>IF(Table2[[#This Row],[Counter Number]]="","",Application!$J$21)</f>
        <v/>
      </c>
      <c r="L82" s="60" t="str">
        <f>IF(Table2[[#This Row],[Counter Number]]="","","School Bus")</f>
        <v/>
      </c>
      <c r="M82" s="60" t="str">
        <f>IF(Table2[[#This Row],[Counter Number]]="","","School Bus")</f>
        <v/>
      </c>
      <c r="N82" s="60" t="str">
        <f>IF(Table2[[#This Row],[Counter Number]]="","",1)</f>
        <v/>
      </c>
      <c r="O82" s="60" t="str">
        <f>IF(Table2[[#This Row],[Counter Number]]="","",Table1[[#This Row],[Vehicle Identification Number(s):]])</f>
        <v/>
      </c>
      <c r="P82" s="60" t="str">
        <f>IF(Table2[[#This Row],[Counter Number]]="","",Table1[[#This Row],[Old Bus Manufacturer:]])</f>
        <v/>
      </c>
      <c r="Q82" s="60" t="str">
        <f>IF(Table2[[#This Row],[Counter Number]]="","",Table1[[#This Row],[Vehicle Model:]])</f>
        <v/>
      </c>
      <c r="R82" s="165" t="str">
        <f>IF(Table2[[#This Row],[Counter Number]]="","",Table1[[#This Row],[Vehicle Model Year:]])</f>
        <v/>
      </c>
      <c r="S82" s="60" t="str">
        <f>IF(Table2[[#This Row],[Counter Number]]="","",Table1[[#This Row],[Engine Serial Number(s):]])</f>
        <v/>
      </c>
      <c r="T82" s="60" t="str">
        <f>IF(Table2[[#This Row],[Counter Number]]="","",Table1[[#This Row],[Engine Make:]])</f>
        <v/>
      </c>
      <c r="U82" s="60" t="str">
        <f>IF(Table2[[#This Row],[Counter Number]]="","",Table1[[#This Row],[Engine Model:]])</f>
        <v/>
      </c>
      <c r="V82" s="165" t="str">
        <f>IF(Table2[[#This Row],[Counter Number]]="","",Table1[[#This Row],[Engine Model Year:]])</f>
        <v/>
      </c>
      <c r="W82" s="60" t="str">
        <f>IF(Table2[[#This Row],[Counter Number]]="","","NA")</f>
        <v/>
      </c>
      <c r="X82" s="165" t="str">
        <f>IF(Table2[[#This Row],[Counter Number]]="","",Table1[[#This Row],[Engine Horsepower (HP):]])</f>
        <v/>
      </c>
      <c r="Y82" s="165" t="str">
        <f>IF(Table2[[#This Row],[Counter Number]]="","",Table1[[#This Row],[Engine Cylinder Displacement (L):]]&amp;" L")</f>
        <v/>
      </c>
      <c r="Z82" s="165" t="str">
        <f>IF(Table2[[#This Row],[Counter Number]]="","",Table1[[#This Row],[Engine Number of Cylinders:]])</f>
        <v/>
      </c>
      <c r="AA82" s="166" t="str">
        <f>IF(Table2[[#This Row],[Counter Number]]="","",Table1[[#This Row],[Engine Family Name:]])</f>
        <v/>
      </c>
      <c r="AB82" s="60" t="str">
        <f>IF(Table2[[#This Row],[Counter Number]]="","","ULSD")</f>
        <v/>
      </c>
      <c r="AC82" s="167" t="str">
        <f>IF(Table2[[#This Row],[Counter Number]]="","",Table2[[#This Row],[Annual Miles Traveled:]]/Table1[[#This Row],[Old Fuel (mpg)]])</f>
        <v/>
      </c>
      <c r="AD82" s="60" t="str">
        <f>IF(Table2[[#This Row],[Counter Number]]="","","NA")</f>
        <v/>
      </c>
      <c r="AE82" s="168" t="str">
        <f>IF(Table2[[#This Row],[Counter Number]]="","",Table1[[#This Row],[Annual Miles Traveled]])</f>
        <v/>
      </c>
      <c r="AF82" s="169" t="str">
        <f>IF(Table2[[#This Row],[Counter Number]]="","",Table1[[#This Row],[Annual Idling Hours:]])</f>
        <v/>
      </c>
      <c r="AG82" s="60" t="str">
        <f>IF(Table2[[#This Row],[Counter Number]]="","","NA")</f>
        <v/>
      </c>
      <c r="AH82" s="165" t="str">
        <f>IF(Table2[[#This Row],[Counter Number]]="","",IF(Application!$J$25="Set Policy",Table1[[#This Row],[Remaining Life (years)         Set Policy]],Table1[[#This Row],[Remaining Life (years)               Case-by-Case]]))</f>
        <v/>
      </c>
      <c r="AI82" s="165" t="str">
        <f>IF(Table2[[#This Row],[Counter Number]]="","",IF(Application!$J$25="Case-by-Case","NA",Table2[[#This Row],[Fiscal Year of EPA Funds Used:]]+Table2[[#This Row],[Remaining Life:]]))</f>
        <v/>
      </c>
      <c r="AJ82" s="165"/>
      <c r="AK82" s="170" t="str">
        <f>IF(Table2[[#This Row],[Counter Number]]="","",Application!$D$14+1)</f>
        <v/>
      </c>
      <c r="AL82" s="60" t="str">
        <f>IF(Table2[[#This Row],[Counter Number]]="","","Vehicle Replacement")</f>
        <v/>
      </c>
      <c r="AM8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2" s="171" t="str">
        <f>IF(Table2[[#This Row],[Counter Number]]="","",Table1[[#This Row],[Cost of New Bus:]])</f>
        <v/>
      </c>
      <c r="AO82" s="60" t="str">
        <f>IF(Table2[[#This Row],[Counter Number]]="","","NA")</f>
        <v/>
      </c>
      <c r="AP82" s="165" t="str">
        <f>IF(Table2[[#This Row],[Counter Number]]="","",Table1[[#This Row],[New Engine Model Year:]])</f>
        <v/>
      </c>
      <c r="AQ82" s="60" t="str">
        <f>IF(Table2[[#This Row],[Counter Number]]="","","NA")</f>
        <v/>
      </c>
      <c r="AR82" s="165" t="str">
        <f>IF(Table2[[#This Row],[Counter Number]]="","",Table1[[#This Row],[New Engine Horsepower (HP):]])</f>
        <v/>
      </c>
      <c r="AS82" s="60" t="str">
        <f>IF(Table2[[#This Row],[Counter Number]]="","","NA")</f>
        <v/>
      </c>
      <c r="AT82" s="165" t="str">
        <f>IF(Table2[[#This Row],[Counter Number]]="","",Table1[[#This Row],[New Engine Cylinder Displacement (L):]]&amp;" L")</f>
        <v/>
      </c>
      <c r="AU82" s="114" t="str">
        <f>IF(Table2[[#This Row],[Counter Number]]="","",Table1[[#This Row],[New Engine Number of Cylinders:]])</f>
        <v/>
      </c>
      <c r="AV82" s="60" t="str">
        <f>IF(Table2[[#This Row],[Counter Number]]="","",Table1[[#This Row],[New Engine Family Name:]])</f>
        <v/>
      </c>
      <c r="AW8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2" s="60" t="str">
        <f>IF(Table2[[#This Row],[Counter Number]]="","","NA")</f>
        <v/>
      </c>
      <c r="AY82" s="172" t="str">
        <f>IF(Table2[[#This Row],[Counter Number]]="","",IF(Table2[[#This Row],[New Engine Fuel Type:]]="ULSD",Table1[[#This Row],[Annual Miles Traveled]]/Table1[[#This Row],[New Fuel (mpg) if Diesel]],""))</f>
        <v/>
      </c>
      <c r="AZ82" s="60"/>
      <c r="BA82" s="173" t="str">
        <f>IF(Table2[[#This Row],[Counter Number]]="","",Table2[[#This Row],[Annual Miles Traveled:]]*VLOOKUP(Table2[[#This Row],[Engine Model Year:]],EFTable[],3,FALSE))</f>
        <v/>
      </c>
      <c r="BB82" s="173" t="str">
        <f>IF(Table2[[#This Row],[Counter Number]]="","",Table2[[#This Row],[Annual Miles Traveled:]]*IF(Table2[[#This Row],[New Engine Fuel Type:]]="ULSD",VLOOKUP(Table2[[#This Row],[New Engine Model Year:]],EFTable[],3,FALSE),VLOOKUP(Table2[[#This Row],[New Engine Fuel Type:]],EFTable[],3,FALSE)))</f>
        <v/>
      </c>
      <c r="BC82" s="187" t="str">
        <f>IF(Table2[[#This Row],[Counter Number]]="","",Table2[[#This Row],[Old Bus NOx Emissions (tons/yr)]]-Table2[[#This Row],[New Bus NOx Emissions (tons/yr)]])</f>
        <v/>
      </c>
      <c r="BD82" s="188" t="str">
        <f>IF(Table2[[#This Row],[Counter Number]]="","",Table2[[#This Row],[Reduction Bus NOx Emissions (tons/yr)]]/Table2[[#This Row],[Old Bus NOx Emissions (tons/yr)]])</f>
        <v/>
      </c>
      <c r="BE82" s="175" t="str">
        <f>IF(Table2[[#This Row],[Counter Number]]="","",Table2[[#This Row],[Reduction Bus NOx Emissions (tons/yr)]]*Table2[[#This Row],[Remaining Life:]])</f>
        <v/>
      </c>
      <c r="BF82" s="189" t="str">
        <f>IF(Table2[[#This Row],[Counter Number]]="","",IF(Table2[[#This Row],[Lifetime NOx Reduction (tons)]]=0,"NA",Table2[[#This Row],[Upgrade Cost Per Unit]]/Table2[[#This Row],[Lifetime NOx Reduction (tons)]]))</f>
        <v/>
      </c>
      <c r="BG82" s="190" t="str">
        <f>IF(Table2[[#This Row],[Counter Number]]="","",Table2[[#This Row],[Annual Miles Traveled:]]*VLOOKUP(Table2[[#This Row],[Engine Model Year:]],EF!$A$2:$G$27,4,FALSE))</f>
        <v/>
      </c>
      <c r="BH82" s="173" t="str">
        <f>IF(Table2[[#This Row],[Counter Number]]="","",Table2[[#This Row],[Annual Miles Traveled:]]*IF(Table2[[#This Row],[New Engine Fuel Type:]]="ULSD",VLOOKUP(Table2[[#This Row],[New Engine Model Year:]],EFTable[],4,FALSE),VLOOKUP(Table2[[#This Row],[New Engine Fuel Type:]],EFTable[],4,FALSE)))</f>
        <v/>
      </c>
      <c r="BI82" s="191" t="str">
        <f>IF(Table2[[#This Row],[Counter Number]]="","",Table2[[#This Row],[Old Bus PM2.5 Emissions (tons/yr)]]-Table2[[#This Row],[New Bus PM2.5 Emissions (tons/yr)]])</f>
        <v/>
      </c>
      <c r="BJ82" s="192" t="str">
        <f>IF(Table2[[#This Row],[Counter Number]]="","",Table2[[#This Row],[Reduction Bus PM2.5 Emissions (tons/yr)]]/Table2[[#This Row],[Old Bus PM2.5 Emissions (tons/yr)]])</f>
        <v/>
      </c>
      <c r="BK82" s="193" t="str">
        <f>IF(Table2[[#This Row],[Counter Number]]="","",Table2[[#This Row],[Reduction Bus PM2.5 Emissions (tons/yr)]]*Table2[[#This Row],[Remaining Life:]])</f>
        <v/>
      </c>
      <c r="BL82" s="194" t="str">
        <f>IF(Table2[[#This Row],[Counter Number]]="","",IF(Table2[[#This Row],[Lifetime PM2.5 Reduction (tons)]]=0,"NA",Table2[[#This Row],[Upgrade Cost Per Unit]]/Table2[[#This Row],[Lifetime PM2.5 Reduction (tons)]]))</f>
        <v/>
      </c>
      <c r="BM82" s="179" t="str">
        <f>IF(Table2[[#This Row],[Counter Number]]="","",Table2[[#This Row],[Annual Miles Traveled:]]*VLOOKUP(Table2[[#This Row],[Engine Model Year:]],EF!$A$2:$G$40,5,FALSE))</f>
        <v/>
      </c>
      <c r="BN82" s="173" t="str">
        <f>IF(Table2[[#This Row],[Counter Number]]="","",Table2[[#This Row],[Annual Miles Traveled:]]*IF(Table2[[#This Row],[New Engine Fuel Type:]]="ULSD",VLOOKUP(Table2[[#This Row],[New Engine Model Year:]],EFTable[],5,FALSE),VLOOKUP(Table2[[#This Row],[New Engine Fuel Type:]],EFTable[],5,FALSE)))</f>
        <v/>
      </c>
      <c r="BO82" s="190" t="str">
        <f>IF(Table2[[#This Row],[Counter Number]]="","",Table2[[#This Row],[Old Bus HC Emissions (tons/yr)]]-Table2[[#This Row],[New Bus HC Emissions (tons/yr)]])</f>
        <v/>
      </c>
      <c r="BP82" s="188" t="str">
        <f>IF(Table2[[#This Row],[Counter Number]]="","",Table2[[#This Row],[Reduction Bus HC Emissions (tons/yr)]]/Table2[[#This Row],[Old Bus HC Emissions (tons/yr)]])</f>
        <v/>
      </c>
      <c r="BQ82" s="193" t="str">
        <f>IF(Table2[[#This Row],[Counter Number]]="","",Table2[[#This Row],[Reduction Bus HC Emissions (tons/yr)]]*Table2[[#This Row],[Remaining Life:]])</f>
        <v/>
      </c>
      <c r="BR82" s="194" t="str">
        <f>IF(Table2[[#This Row],[Counter Number]]="","",IF(Table2[[#This Row],[Lifetime HC Reduction (tons)]]=0,"NA",Table2[[#This Row],[Upgrade Cost Per Unit]]/Table2[[#This Row],[Lifetime HC Reduction (tons)]]))</f>
        <v/>
      </c>
      <c r="BS82" s="191" t="str">
        <f>IF(Table2[[#This Row],[Counter Number]]="","",Table2[[#This Row],[Annual Miles Traveled:]]*VLOOKUP(Table2[[#This Row],[Engine Model Year:]],EF!$A$2:$G$27,6,FALSE))</f>
        <v/>
      </c>
      <c r="BT82" s="173" t="str">
        <f>IF(Table2[[#This Row],[Counter Number]]="","",Table2[[#This Row],[Annual Miles Traveled:]]*IF(Table2[[#This Row],[New Engine Fuel Type:]]="ULSD",VLOOKUP(Table2[[#This Row],[New Engine Model Year:]],EFTable[],6,FALSE),VLOOKUP(Table2[[#This Row],[New Engine Fuel Type:]],EFTable[],6,FALSE)))</f>
        <v/>
      </c>
      <c r="BU82" s="190" t="str">
        <f>IF(Table2[[#This Row],[Counter Number]]="","",Table2[[#This Row],[Old Bus CO Emissions (tons/yr)]]-Table2[[#This Row],[New Bus CO Emissions (tons/yr)]])</f>
        <v/>
      </c>
      <c r="BV82" s="188" t="str">
        <f>IF(Table2[[#This Row],[Counter Number]]="","",Table2[[#This Row],[Reduction Bus CO Emissions (tons/yr)]]/Table2[[#This Row],[Old Bus CO Emissions (tons/yr)]])</f>
        <v/>
      </c>
      <c r="BW82" s="193" t="str">
        <f>IF(Table2[[#This Row],[Counter Number]]="","",Table2[[#This Row],[Reduction Bus CO Emissions (tons/yr)]]*Table2[[#This Row],[Remaining Life:]])</f>
        <v/>
      </c>
      <c r="BX82" s="194" t="str">
        <f>IF(Table2[[#This Row],[Counter Number]]="","",IF(Table2[[#This Row],[Lifetime CO Reduction (tons)]]=0,"NA",Table2[[#This Row],[Upgrade Cost Per Unit]]/Table2[[#This Row],[Lifetime CO Reduction (tons)]]))</f>
        <v/>
      </c>
      <c r="BY82" s="180" t="str">
        <f>IF(Table2[[#This Row],[Counter Number]]="","",Table2[[#This Row],[Old ULSD Used (gal):]]*VLOOKUP(Table2[[#This Row],[Engine Model Year:]],EF!$A$2:$G$27,7,FALSE))</f>
        <v/>
      </c>
      <c r="BZ8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2" s="195" t="str">
        <f>IF(Table2[[#This Row],[Counter Number]]="","",Table2[[#This Row],[Old Bus CO2 Emissions (tons/yr)]]-Table2[[#This Row],[New Bus CO2 Emissions (tons/yr)]])</f>
        <v/>
      </c>
      <c r="CB82" s="188" t="str">
        <f>IF(Table2[[#This Row],[Counter Number]]="","",Table2[[#This Row],[Reduction Bus CO2 Emissions (tons/yr)]]/Table2[[#This Row],[Old Bus CO2 Emissions (tons/yr)]])</f>
        <v/>
      </c>
      <c r="CC82" s="195" t="str">
        <f>IF(Table2[[#This Row],[Counter Number]]="","",Table2[[#This Row],[Reduction Bus CO2 Emissions (tons/yr)]]*Table2[[#This Row],[Remaining Life:]])</f>
        <v/>
      </c>
      <c r="CD82" s="194" t="str">
        <f>IF(Table2[[#This Row],[Counter Number]]="","",IF(Table2[[#This Row],[Lifetime CO2 Reduction (tons)]]=0,"NA",Table2[[#This Row],[Upgrade Cost Per Unit]]/Table2[[#This Row],[Lifetime CO2 Reduction (tons)]]))</f>
        <v/>
      </c>
      <c r="CE82" s="182" t="str">
        <f>IF(Table2[[#This Row],[Counter Number]]="","",IF(Table2[[#This Row],[New ULSD Used (gal):]]="",Table2[[#This Row],[Old ULSD Used (gal):]],Table2[[#This Row],[Old ULSD Used (gal):]]-Table2[[#This Row],[New ULSD Used (gal):]]))</f>
        <v/>
      </c>
      <c r="CF82" s="196" t="str">
        <f>IF(Table2[[#This Row],[Counter Number]]="","",Table2[[#This Row],[Diesel Fuel Reduction (gal/yr)]]/Table2[[#This Row],[Old ULSD Used (gal):]])</f>
        <v/>
      </c>
      <c r="CG82" s="197" t="str">
        <f>IF(Table2[[#This Row],[Counter Number]]="","",Table2[[#This Row],[Diesel Fuel Reduction (gal/yr)]]*Table2[[#This Row],[Remaining Life:]])</f>
        <v/>
      </c>
    </row>
    <row r="83" spans="1:85">
      <c r="A83" s="184" t="str">
        <f>IF(A82&lt;Application!$D$24,A82+1,"")</f>
        <v/>
      </c>
      <c r="B83" s="60" t="str">
        <f>IF(Table2[[#This Row],[Counter Number]]="","",Application!$D$16)</f>
        <v/>
      </c>
      <c r="C83" s="60" t="str">
        <f>IF(Table2[[#This Row],[Counter Number]]="","",Application!$D$14)</f>
        <v/>
      </c>
      <c r="D83" s="60" t="str">
        <f>IF(Table2[[#This Row],[Counter Number]]="","",Table1[[#This Row],[Old Bus Number]])</f>
        <v/>
      </c>
      <c r="E83" s="60" t="str">
        <f>IF(Table2[[#This Row],[Counter Number]]="","",Application!$D$15)</f>
        <v/>
      </c>
      <c r="F83" s="60" t="str">
        <f>IF(Table2[[#This Row],[Counter Number]]="","","On Highway")</f>
        <v/>
      </c>
      <c r="G83" s="60" t="str">
        <f>IF(Table2[[#This Row],[Counter Number]]="","",I83)</f>
        <v/>
      </c>
      <c r="H83" s="60" t="str">
        <f>IF(Table2[[#This Row],[Counter Number]]="","","Georgia")</f>
        <v/>
      </c>
      <c r="I83" s="60" t="str">
        <f>IF(Table2[[#This Row],[Counter Number]]="","",Application!$D$16)</f>
        <v/>
      </c>
      <c r="J83" s="60" t="str">
        <f>IF(Table2[[#This Row],[Counter Number]]="","",Application!$D$21)</f>
        <v/>
      </c>
      <c r="K83" s="60" t="str">
        <f>IF(Table2[[#This Row],[Counter Number]]="","",Application!$J$21)</f>
        <v/>
      </c>
      <c r="L83" s="60" t="str">
        <f>IF(Table2[[#This Row],[Counter Number]]="","","School Bus")</f>
        <v/>
      </c>
      <c r="M83" s="60" t="str">
        <f>IF(Table2[[#This Row],[Counter Number]]="","","School Bus")</f>
        <v/>
      </c>
      <c r="N83" s="60" t="str">
        <f>IF(Table2[[#This Row],[Counter Number]]="","",1)</f>
        <v/>
      </c>
      <c r="O83" s="60" t="str">
        <f>IF(Table2[[#This Row],[Counter Number]]="","",Table1[[#This Row],[Vehicle Identification Number(s):]])</f>
        <v/>
      </c>
      <c r="P83" s="60" t="str">
        <f>IF(Table2[[#This Row],[Counter Number]]="","",Table1[[#This Row],[Old Bus Manufacturer:]])</f>
        <v/>
      </c>
      <c r="Q83" s="60" t="str">
        <f>IF(Table2[[#This Row],[Counter Number]]="","",Table1[[#This Row],[Vehicle Model:]])</f>
        <v/>
      </c>
      <c r="R83" s="165" t="str">
        <f>IF(Table2[[#This Row],[Counter Number]]="","",Table1[[#This Row],[Vehicle Model Year:]])</f>
        <v/>
      </c>
      <c r="S83" s="60" t="str">
        <f>IF(Table2[[#This Row],[Counter Number]]="","",Table1[[#This Row],[Engine Serial Number(s):]])</f>
        <v/>
      </c>
      <c r="T83" s="60" t="str">
        <f>IF(Table2[[#This Row],[Counter Number]]="","",Table1[[#This Row],[Engine Make:]])</f>
        <v/>
      </c>
      <c r="U83" s="60" t="str">
        <f>IF(Table2[[#This Row],[Counter Number]]="","",Table1[[#This Row],[Engine Model:]])</f>
        <v/>
      </c>
      <c r="V83" s="165" t="str">
        <f>IF(Table2[[#This Row],[Counter Number]]="","",Table1[[#This Row],[Engine Model Year:]])</f>
        <v/>
      </c>
      <c r="W83" s="60" t="str">
        <f>IF(Table2[[#This Row],[Counter Number]]="","","NA")</f>
        <v/>
      </c>
      <c r="X83" s="165" t="str">
        <f>IF(Table2[[#This Row],[Counter Number]]="","",Table1[[#This Row],[Engine Horsepower (HP):]])</f>
        <v/>
      </c>
      <c r="Y83" s="165" t="str">
        <f>IF(Table2[[#This Row],[Counter Number]]="","",Table1[[#This Row],[Engine Cylinder Displacement (L):]]&amp;" L")</f>
        <v/>
      </c>
      <c r="Z83" s="165" t="str">
        <f>IF(Table2[[#This Row],[Counter Number]]="","",Table1[[#This Row],[Engine Number of Cylinders:]])</f>
        <v/>
      </c>
      <c r="AA83" s="166" t="str">
        <f>IF(Table2[[#This Row],[Counter Number]]="","",Table1[[#This Row],[Engine Family Name:]])</f>
        <v/>
      </c>
      <c r="AB83" s="60" t="str">
        <f>IF(Table2[[#This Row],[Counter Number]]="","","ULSD")</f>
        <v/>
      </c>
      <c r="AC83" s="167" t="str">
        <f>IF(Table2[[#This Row],[Counter Number]]="","",Table2[[#This Row],[Annual Miles Traveled:]]/Table1[[#This Row],[Old Fuel (mpg)]])</f>
        <v/>
      </c>
      <c r="AD83" s="60" t="str">
        <f>IF(Table2[[#This Row],[Counter Number]]="","","NA")</f>
        <v/>
      </c>
      <c r="AE83" s="168" t="str">
        <f>IF(Table2[[#This Row],[Counter Number]]="","",Table1[[#This Row],[Annual Miles Traveled]])</f>
        <v/>
      </c>
      <c r="AF83" s="169" t="str">
        <f>IF(Table2[[#This Row],[Counter Number]]="","",Table1[[#This Row],[Annual Idling Hours:]])</f>
        <v/>
      </c>
      <c r="AG83" s="60" t="str">
        <f>IF(Table2[[#This Row],[Counter Number]]="","","NA")</f>
        <v/>
      </c>
      <c r="AH83" s="165" t="str">
        <f>IF(Table2[[#This Row],[Counter Number]]="","",IF(Application!$J$25="Set Policy",Table1[[#This Row],[Remaining Life (years)         Set Policy]],Table1[[#This Row],[Remaining Life (years)               Case-by-Case]]))</f>
        <v/>
      </c>
      <c r="AI83" s="165" t="str">
        <f>IF(Table2[[#This Row],[Counter Number]]="","",IF(Application!$J$25="Case-by-Case","NA",Table2[[#This Row],[Fiscal Year of EPA Funds Used:]]+Table2[[#This Row],[Remaining Life:]]))</f>
        <v/>
      </c>
      <c r="AJ83" s="165"/>
      <c r="AK83" s="170" t="str">
        <f>IF(Table2[[#This Row],[Counter Number]]="","",Application!$D$14+1)</f>
        <v/>
      </c>
      <c r="AL83" s="60" t="str">
        <f>IF(Table2[[#This Row],[Counter Number]]="","","Vehicle Replacement")</f>
        <v/>
      </c>
      <c r="AM8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3" s="171" t="str">
        <f>IF(Table2[[#This Row],[Counter Number]]="","",Table1[[#This Row],[Cost of New Bus:]])</f>
        <v/>
      </c>
      <c r="AO83" s="60" t="str">
        <f>IF(Table2[[#This Row],[Counter Number]]="","","NA")</f>
        <v/>
      </c>
      <c r="AP83" s="165" t="str">
        <f>IF(Table2[[#This Row],[Counter Number]]="","",Table1[[#This Row],[New Engine Model Year:]])</f>
        <v/>
      </c>
      <c r="AQ83" s="60" t="str">
        <f>IF(Table2[[#This Row],[Counter Number]]="","","NA")</f>
        <v/>
      </c>
      <c r="AR83" s="165" t="str">
        <f>IF(Table2[[#This Row],[Counter Number]]="","",Table1[[#This Row],[New Engine Horsepower (HP):]])</f>
        <v/>
      </c>
      <c r="AS83" s="60" t="str">
        <f>IF(Table2[[#This Row],[Counter Number]]="","","NA")</f>
        <v/>
      </c>
      <c r="AT83" s="165" t="str">
        <f>IF(Table2[[#This Row],[Counter Number]]="","",Table1[[#This Row],[New Engine Cylinder Displacement (L):]]&amp;" L")</f>
        <v/>
      </c>
      <c r="AU83" s="114" t="str">
        <f>IF(Table2[[#This Row],[Counter Number]]="","",Table1[[#This Row],[New Engine Number of Cylinders:]])</f>
        <v/>
      </c>
      <c r="AV83" s="60" t="str">
        <f>IF(Table2[[#This Row],[Counter Number]]="","",Table1[[#This Row],[New Engine Family Name:]])</f>
        <v/>
      </c>
      <c r="AW8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3" s="60" t="str">
        <f>IF(Table2[[#This Row],[Counter Number]]="","","NA")</f>
        <v/>
      </c>
      <c r="AY83" s="172" t="str">
        <f>IF(Table2[[#This Row],[Counter Number]]="","",IF(Table2[[#This Row],[New Engine Fuel Type:]]="ULSD",Table1[[#This Row],[Annual Miles Traveled]]/Table1[[#This Row],[New Fuel (mpg) if Diesel]],""))</f>
        <v/>
      </c>
      <c r="AZ83" s="60"/>
      <c r="BA83" s="173" t="str">
        <f>IF(Table2[[#This Row],[Counter Number]]="","",Table2[[#This Row],[Annual Miles Traveled:]]*VLOOKUP(Table2[[#This Row],[Engine Model Year:]],EFTable[],3,FALSE))</f>
        <v/>
      </c>
      <c r="BB83" s="173" t="str">
        <f>IF(Table2[[#This Row],[Counter Number]]="","",Table2[[#This Row],[Annual Miles Traveled:]]*IF(Table2[[#This Row],[New Engine Fuel Type:]]="ULSD",VLOOKUP(Table2[[#This Row],[New Engine Model Year:]],EFTable[],3,FALSE),VLOOKUP(Table2[[#This Row],[New Engine Fuel Type:]],EFTable[],3,FALSE)))</f>
        <v/>
      </c>
      <c r="BC83" s="187" t="str">
        <f>IF(Table2[[#This Row],[Counter Number]]="","",Table2[[#This Row],[Old Bus NOx Emissions (tons/yr)]]-Table2[[#This Row],[New Bus NOx Emissions (tons/yr)]])</f>
        <v/>
      </c>
      <c r="BD83" s="188" t="str">
        <f>IF(Table2[[#This Row],[Counter Number]]="","",Table2[[#This Row],[Reduction Bus NOx Emissions (tons/yr)]]/Table2[[#This Row],[Old Bus NOx Emissions (tons/yr)]])</f>
        <v/>
      </c>
      <c r="BE83" s="175" t="str">
        <f>IF(Table2[[#This Row],[Counter Number]]="","",Table2[[#This Row],[Reduction Bus NOx Emissions (tons/yr)]]*Table2[[#This Row],[Remaining Life:]])</f>
        <v/>
      </c>
      <c r="BF83" s="189" t="str">
        <f>IF(Table2[[#This Row],[Counter Number]]="","",IF(Table2[[#This Row],[Lifetime NOx Reduction (tons)]]=0,"NA",Table2[[#This Row],[Upgrade Cost Per Unit]]/Table2[[#This Row],[Lifetime NOx Reduction (tons)]]))</f>
        <v/>
      </c>
      <c r="BG83" s="190" t="str">
        <f>IF(Table2[[#This Row],[Counter Number]]="","",Table2[[#This Row],[Annual Miles Traveled:]]*VLOOKUP(Table2[[#This Row],[Engine Model Year:]],EF!$A$2:$G$27,4,FALSE))</f>
        <v/>
      </c>
      <c r="BH83" s="173" t="str">
        <f>IF(Table2[[#This Row],[Counter Number]]="","",Table2[[#This Row],[Annual Miles Traveled:]]*IF(Table2[[#This Row],[New Engine Fuel Type:]]="ULSD",VLOOKUP(Table2[[#This Row],[New Engine Model Year:]],EFTable[],4,FALSE),VLOOKUP(Table2[[#This Row],[New Engine Fuel Type:]],EFTable[],4,FALSE)))</f>
        <v/>
      </c>
      <c r="BI83" s="191" t="str">
        <f>IF(Table2[[#This Row],[Counter Number]]="","",Table2[[#This Row],[Old Bus PM2.5 Emissions (tons/yr)]]-Table2[[#This Row],[New Bus PM2.5 Emissions (tons/yr)]])</f>
        <v/>
      </c>
      <c r="BJ83" s="192" t="str">
        <f>IF(Table2[[#This Row],[Counter Number]]="","",Table2[[#This Row],[Reduction Bus PM2.5 Emissions (tons/yr)]]/Table2[[#This Row],[Old Bus PM2.5 Emissions (tons/yr)]])</f>
        <v/>
      </c>
      <c r="BK83" s="193" t="str">
        <f>IF(Table2[[#This Row],[Counter Number]]="","",Table2[[#This Row],[Reduction Bus PM2.5 Emissions (tons/yr)]]*Table2[[#This Row],[Remaining Life:]])</f>
        <v/>
      </c>
      <c r="BL83" s="194" t="str">
        <f>IF(Table2[[#This Row],[Counter Number]]="","",IF(Table2[[#This Row],[Lifetime PM2.5 Reduction (tons)]]=0,"NA",Table2[[#This Row],[Upgrade Cost Per Unit]]/Table2[[#This Row],[Lifetime PM2.5 Reduction (tons)]]))</f>
        <v/>
      </c>
      <c r="BM83" s="179" t="str">
        <f>IF(Table2[[#This Row],[Counter Number]]="","",Table2[[#This Row],[Annual Miles Traveled:]]*VLOOKUP(Table2[[#This Row],[Engine Model Year:]],EF!$A$2:$G$40,5,FALSE))</f>
        <v/>
      </c>
      <c r="BN83" s="173" t="str">
        <f>IF(Table2[[#This Row],[Counter Number]]="","",Table2[[#This Row],[Annual Miles Traveled:]]*IF(Table2[[#This Row],[New Engine Fuel Type:]]="ULSD",VLOOKUP(Table2[[#This Row],[New Engine Model Year:]],EFTable[],5,FALSE),VLOOKUP(Table2[[#This Row],[New Engine Fuel Type:]],EFTable[],5,FALSE)))</f>
        <v/>
      </c>
      <c r="BO83" s="190" t="str">
        <f>IF(Table2[[#This Row],[Counter Number]]="","",Table2[[#This Row],[Old Bus HC Emissions (tons/yr)]]-Table2[[#This Row],[New Bus HC Emissions (tons/yr)]])</f>
        <v/>
      </c>
      <c r="BP83" s="188" t="str">
        <f>IF(Table2[[#This Row],[Counter Number]]="","",Table2[[#This Row],[Reduction Bus HC Emissions (tons/yr)]]/Table2[[#This Row],[Old Bus HC Emissions (tons/yr)]])</f>
        <v/>
      </c>
      <c r="BQ83" s="193" t="str">
        <f>IF(Table2[[#This Row],[Counter Number]]="","",Table2[[#This Row],[Reduction Bus HC Emissions (tons/yr)]]*Table2[[#This Row],[Remaining Life:]])</f>
        <v/>
      </c>
      <c r="BR83" s="194" t="str">
        <f>IF(Table2[[#This Row],[Counter Number]]="","",IF(Table2[[#This Row],[Lifetime HC Reduction (tons)]]=0,"NA",Table2[[#This Row],[Upgrade Cost Per Unit]]/Table2[[#This Row],[Lifetime HC Reduction (tons)]]))</f>
        <v/>
      </c>
      <c r="BS83" s="191" t="str">
        <f>IF(Table2[[#This Row],[Counter Number]]="","",Table2[[#This Row],[Annual Miles Traveled:]]*VLOOKUP(Table2[[#This Row],[Engine Model Year:]],EF!$A$2:$G$27,6,FALSE))</f>
        <v/>
      </c>
      <c r="BT83" s="173" t="str">
        <f>IF(Table2[[#This Row],[Counter Number]]="","",Table2[[#This Row],[Annual Miles Traveled:]]*IF(Table2[[#This Row],[New Engine Fuel Type:]]="ULSD",VLOOKUP(Table2[[#This Row],[New Engine Model Year:]],EFTable[],6,FALSE),VLOOKUP(Table2[[#This Row],[New Engine Fuel Type:]],EFTable[],6,FALSE)))</f>
        <v/>
      </c>
      <c r="BU83" s="190" t="str">
        <f>IF(Table2[[#This Row],[Counter Number]]="","",Table2[[#This Row],[Old Bus CO Emissions (tons/yr)]]-Table2[[#This Row],[New Bus CO Emissions (tons/yr)]])</f>
        <v/>
      </c>
      <c r="BV83" s="188" t="str">
        <f>IF(Table2[[#This Row],[Counter Number]]="","",Table2[[#This Row],[Reduction Bus CO Emissions (tons/yr)]]/Table2[[#This Row],[Old Bus CO Emissions (tons/yr)]])</f>
        <v/>
      </c>
      <c r="BW83" s="193" t="str">
        <f>IF(Table2[[#This Row],[Counter Number]]="","",Table2[[#This Row],[Reduction Bus CO Emissions (tons/yr)]]*Table2[[#This Row],[Remaining Life:]])</f>
        <v/>
      </c>
      <c r="BX83" s="194" t="str">
        <f>IF(Table2[[#This Row],[Counter Number]]="","",IF(Table2[[#This Row],[Lifetime CO Reduction (tons)]]=0,"NA",Table2[[#This Row],[Upgrade Cost Per Unit]]/Table2[[#This Row],[Lifetime CO Reduction (tons)]]))</f>
        <v/>
      </c>
      <c r="BY83" s="180" t="str">
        <f>IF(Table2[[#This Row],[Counter Number]]="","",Table2[[#This Row],[Old ULSD Used (gal):]]*VLOOKUP(Table2[[#This Row],[Engine Model Year:]],EF!$A$2:$G$27,7,FALSE))</f>
        <v/>
      </c>
      <c r="BZ8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3" s="195" t="str">
        <f>IF(Table2[[#This Row],[Counter Number]]="","",Table2[[#This Row],[Old Bus CO2 Emissions (tons/yr)]]-Table2[[#This Row],[New Bus CO2 Emissions (tons/yr)]])</f>
        <v/>
      </c>
      <c r="CB83" s="188" t="str">
        <f>IF(Table2[[#This Row],[Counter Number]]="","",Table2[[#This Row],[Reduction Bus CO2 Emissions (tons/yr)]]/Table2[[#This Row],[Old Bus CO2 Emissions (tons/yr)]])</f>
        <v/>
      </c>
      <c r="CC83" s="195" t="str">
        <f>IF(Table2[[#This Row],[Counter Number]]="","",Table2[[#This Row],[Reduction Bus CO2 Emissions (tons/yr)]]*Table2[[#This Row],[Remaining Life:]])</f>
        <v/>
      </c>
      <c r="CD83" s="194" t="str">
        <f>IF(Table2[[#This Row],[Counter Number]]="","",IF(Table2[[#This Row],[Lifetime CO2 Reduction (tons)]]=0,"NA",Table2[[#This Row],[Upgrade Cost Per Unit]]/Table2[[#This Row],[Lifetime CO2 Reduction (tons)]]))</f>
        <v/>
      </c>
      <c r="CE83" s="182" t="str">
        <f>IF(Table2[[#This Row],[Counter Number]]="","",IF(Table2[[#This Row],[New ULSD Used (gal):]]="",Table2[[#This Row],[Old ULSD Used (gal):]],Table2[[#This Row],[Old ULSD Used (gal):]]-Table2[[#This Row],[New ULSD Used (gal):]]))</f>
        <v/>
      </c>
      <c r="CF83" s="196" t="str">
        <f>IF(Table2[[#This Row],[Counter Number]]="","",Table2[[#This Row],[Diesel Fuel Reduction (gal/yr)]]/Table2[[#This Row],[Old ULSD Used (gal):]])</f>
        <v/>
      </c>
      <c r="CG83" s="197" t="str">
        <f>IF(Table2[[#This Row],[Counter Number]]="","",Table2[[#This Row],[Diesel Fuel Reduction (gal/yr)]]*Table2[[#This Row],[Remaining Life:]])</f>
        <v/>
      </c>
    </row>
    <row r="84" spans="1:85">
      <c r="A84" s="184" t="str">
        <f>IF(A83&lt;Application!$D$24,A83+1,"")</f>
        <v/>
      </c>
      <c r="B84" s="60" t="str">
        <f>IF(Table2[[#This Row],[Counter Number]]="","",Application!$D$16)</f>
        <v/>
      </c>
      <c r="C84" s="60" t="str">
        <f>IF(Table2[[#This Row],[Counter Number]]="","",Application!$D$14)</f>
        <v/>
      </c>
      <c r="D84" s="60" t="str">
        <f>IF(Table2[[#This Row],[Counter Number]]="","",Table1[[#This Row],[Old Bus Number]])</f>
        <v/>
      </c>
      <c r="E84" s="60" t="str">
        <f>IF(Table2[[#This Row],[Counter Number]]="","",Application!$D$15)</f>
        <v/>
      </c>
      <c r="F84" s="60" t="str">
        <f>IF(Table2[[#This Row],[Counter Number]]="","","On Highway")</f>
        <v/>
      </c>
      <c r="G84" s="60" t="str">
        <f>IF(Table2[[#This Row],[Counter Number]]="","",I84)</f>
        <v/>
      </c>
      <c r="H84" s="60" t="str">
        <f>IF(Table2[[#This Row],[Counter Number]]="","","Georgia")</f>
        <v/>
      </c>
      <c r="I84" s="60" t="str">
        <f>IF(Table2[[#This Row],[Counter Number]]="","",Application!$D$16)</f>
        <v/>
      </c>
      <c r="J84" s="60" t="str">
        <f>IF(Table2[[#This Row],[Counter Number]]="","",Application!$D$21)</f>
        <v/>
      </c>
      <c r="K84" s="60" t="str">
        <f>IF(Table2[[#This Row],[Counter Number]]="","",Application!$J$21)</f>
        <v/>
      </c>
      <c r="L84" s="60" t="str">
        <f>IF(Table2[[#This Row],[Counter Number]]="","","School Bus")</f>
        <v/>
      </c>
      <c r="M84" s="60" t="str">
        <f>IF(Table2[[#This Row],[Counter Number]]="","","School Bus")</f>
        <v/>
      </c>
      <c r="N84" s="60" t="str">
        <f>IF(Table2[[#This Row],[Counter Number]]="","",1)</f>
        <v/>
      </c>
      <c r="O84" s="60" t="str">
        <f>IF(Table2[[#This Row],[Counter Number]]="","",Table1[[#This Row],[Vehicle Identification Number(s):]])</f>
        <v/>
      </c>
      <c r="P84" s="60" t="str">
        <f>IF(Table2[[#This Row],[Counter Number]]="","",Table1[[#This Row],[Old Bus Manufacturer:]])</f>
        <v/>
      </c>
      <c r="Q84" s="60" t="str">
        <f>IF(Table2[[#This Row],[Counter Number]]="","",Table1[[#This Row],[Vehicle Model:]])</f>
        <v/>
      </c>
      <c r="R84" s="165" t="str">
        <f>IF(Table2[[#This Row],[Counter Number]]="","",Table1[[#This Row],[Vehicle Model Year:]])</f>
        <v/>
      </c>
      <c r="S84" s="60" t="str">
        <f>IF(Table2[[#This Row],[Counter Number]]="","",Table1[[#This Row],[Engine Serial Number(s):]])</f>
        <v/>
      </c>
      <c r="T84" s="60" t="str">
        <f>IF(Table2[[#This Row],[Counter Number]]="","",Table1[[#This Row],[Engine Make:]])</f>
        <v/>
      </c>
      <c r="U84" s="60" t="str">
        <f>IF(Table2[[#This Row],[Counter Number]]="","",Table1[[#This Row],[Engine Model:]])</f>
        <v/>
      </c>
      <c r="V84" s="165" t="str">
        <f>IF(Table2[[#This Row],[Counter Number]]="","",Table1[[#This Row],[Engine Model Year:]])</f>
        <v/>
      </c>
      <c r="W84" s="60" t="str">
        <f>IF(Table2[[#This Row],[Counter Number]]="","","NA")</f>
        <v/>
      </c>
      <c r="X84" s="165" t="str">
        <f>IF(Table2[[#This Row],[Counter Number]]="","",Table1[[#This Row],[Engine Horsepower (HP):]])</f>
        <v/>
      </c>
      <c r="Y84" s="165" t="str">
        <f>IF(Table2[[#This Row],[Counter Number]]="","",Table1[[#This Row],[Engine Cylinder Displacement (L):]]&amp;" L")</f>
        <v/>
      </c>
      <c r="Z84" s="165" t="str">
        <f>IF(Table2[[#This Row],[Counter Number]]="","",Table1[[#This Row],[Engine Number of Cylinders:]])</f>
        <v/>
      </c>
      <c r="AA84" s="166" t="str">
        <f>IF(Table2[[#This Row],[Counter Number]]="","",Table1[[#This Row],[Engine Family Name:]])</f>
        <v/>
      </c>
      <c r="AB84" s="60" t="str">
        <f>IF(Table2[[#This Row],[Counter Number]]="","","ULSD")</f>
        <v/>
      </c>
      <c r="AC84" s="167" t="str">
        <f>IF(Table2[[#This Row],[Counter Number]]="","",Table2[[#This Row],[Annual Miles Traveled:]]/Table1[[#This Row],[Old Fuel (mpg)]])</f>
        <v/>
      </c>
      <c r="AD84" s="60" t="str">
        <f>IF(Table2[[#This Row],[Counter Number]]="","","NA")</f>
        <v/>
      </c>
      <c r="AE84" s="168" t="str">
        <f>IF(Table2[[#This Row],[Counter Number]]="","",Table1[[#This Row],[Annual Miles Traveled]])</f>
        <v/>
      </c>
      <c r="AF84" s="169" t="str">
        <f>IF(Table2[[#This Row],[Counter Number]]="","",Table1[[#This Row],[Annual Idling Hours:]])</f>
        <v/>
      </c>
      <c r="AG84" s="60" t="str">
        <f>IF(Table2[[#This Row],[Counter Number]]="","","NA")</f>
        <v/>
      </c>
      <c r="AH84" s="165" t="str">
        <f>IF(Table2[[#This Row],[Counter Number]]="","",IF(Application!$J$25="Set Policy",Table1[[#This Row],[Remaining Life (years)         Set Policy]],Table1[[#This Row],[Remaining Life (years)               Case-by-Case]]))</f>
        <v/>
      </c>
      <c r="AI84" s="165" t="str">
        <f>IF(Table2[[#This Row],[Counter Number]]="","",IF(Application!$J$25="Case-by-Case","NA",Table2[[#This Row],[Fiscal Year of EPA Funds Used:]]+Table2[[#This Row],[Remaining Life:]]))</f>
        <v/>
      </c>
      <c r="AJ84" s="165"/>
      <c r="AK84" s="170" t="str">
        <f>IF(Table2[[#This Row],[Counter Number]]="","",Application!$D$14+1)</f>
        <v/>
      </c>
      <c r="AL84" s="60" t="str">
        <f>IF(Table2[[#This Row],[Counter Number]]="","","Vehicle Replacement")</f>
        <v/>
      </c>
      <c r="AM8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4" s="171" t="str">
        <f>IF(Table2[[#This Row],[Counter Number]]="","",Table1[[#This Row],[Cost of New Bus:]])</f>
        <v/>
      </c>
      <c r="AO84" s="60" t="str">
        <f>IF(Table2[[#This Row],[Counter Number]]="","","NA")</f>
        <v/>
      </c>
      <c r="AP84" s="165" t="str">
        <f>IF(Table2[[#This Row],[Counter Number]]="","",Table1[[#This Row],[New Engine Model Year:]])</f>
        <v/>
      </c>
      <c r="AQ84" s="60" t="str">
        <f>IF(Table2[[#This Row],[Counter Number]]="","","NA")</f>
        <v/>
      </c>
      <c r="AR84" s="165" t="str">
        <f>IF(Table2[[#This Row],[Counter Number]]="","",Table1[[#This Row],[New Engine Horsepower (HP):]])</f>
        <v/>
      </c>
      <c r="AS84" s="60" t="str">
        <f>IF(Table2[[#This Row],[Counter Number]]="","","NA")</f>
        <v/>
      </c>
      <c r="AT84" s="165" t="str">
        <f>IF(Table2[[#This Row],[Counter Number]]="","",Table1[[#This Row],[New Engine Cylinder Displacement (L):]]&amp;" L")</f>
        <v/>
      </c>
      <c r="AU84" s="114" t="str">
        <f>IF(Table2[[#This Row],[Counter Number]]="","",Table1[[#This Row],[New Engine Number of Cylinders:]])</f>
        <v/>
      </c>
      <c r="AV84" s="60" t="str">
        <f>IF(Table2[[#This Row],[Counter Number]]="","",Table1[[#This Row],[New Engine Family Name:]])</f>
        <v/>
      </c>
      <c r="AW8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4" s="60" t="str">
        <f>IF(Table2[[#This Row],[Counter Number]]="","","NA")</f>
        <v/>
      </c>
      <c r="AY84" s="172" t="str">
        <f>IF(Table2[[#This Row],[Counter Number]]="","",IF(Table2[[#This Row],[New Engine Fuel Type:]]="ULSD",Table1[[#This Row],[Annual Miles Traveled]]/Table1[[#This Row],[New Fuel (mpg) if Diesel]],""))</f>
        <v/>
      </c>
      <c r="AZ84" s="60"/>
      <c r="BA84" s="173" t="str">
        <f>IF(Table2[[#This Row],[Counter Number]]="","",Table2[[#This Row],[Annual Miles Traveled:]]*VLOOKUP(Table2[[#This Row],[Engine Model Year:]],EFTable[],3,FALSE))</f>
        <v/>
      </c>
      <c r="BB84" s="173" t="str">
        <f>IF(Table2[[#This Row],[Counter Number]]="","",Table2[[#This Row],[Annual Miles Traveled:]]*IF(Table2[[#This Row],[New Engine Fuel Type:]]="ULSD",VLOOKUP(Table2[[#This Row],[New Engine Model Year:]],EFTable[],3,FALSE),VLOOKUP(Table2[[#This Row],[New Engine Fuel Type:]],EFTable[],3,FALSE)))</f>
        <v/>
      </c>
      <c r="BC84" s="187" t="str">
        <f>IF(Table2[[#This Row],[Counter Number]]="","",Table2[[#This Row],[Old Bus NOx Emissions (tons/yr)]]-Table2[[#This Row],[New Bus NOx Emissions (tons/yr)]])</f>
        <v/>
      </c>
      <c r="BD84" s="188" t="str">
        <f>IF(Table2[[#This Row],[Counter Number]]="","",Table2[[#This Row],[Reduction Bus NOx Emissions (tons/yr)]]/Table2[[#This Row],[Old Bus NOx Emissions (tons/yr)]])</f>
        <v/>
      </c>
      <c r="BE84" s="175" t="str">
        <f>IF(Table2[[#This Row],[Counter Number]]="","",Table2[[#This Row],[Reduction Bus NOx Emissions (tons/yr)]]*Table2[[#This Row],[Remaining Life:]])</f>
        <v/>
      </c>
      <c r="BF84" s="189" t="str">
        <f>IF(Table2[[#This Row],[Counter Number]]="","",IF(Table2[[#This Row],[Lifetime NOx Reduction (tons)]]=0,"NA",Table2[[#This Row],[Upgrade Cost Per Unit]]/Table2[[#This Row],[Lifetime NOx Reduction (tons)]]))</f>
        <v/>
      </c>
      <c r="BG84" s="190" t="str">
        <f>IF(Table2[[#This Row],[Counter Number]]="","",Table2[[#This Row],[Annual Miles Traveled:]]*VLOOKUP(Table2[[#This Row],[Engine Model Year:]],EF!$A$2:$G$27,4,FALSE))</f>
        <v/>
      </c>
      <c r="BH84" s="173" t="str">
        <f>IF(Table2[[#This Row],[Counter Number]]="","",Table2[[#This Row],[Annual Miles Traveled:]]*IF(Table2[[#This Row],[New Engine Fuel Type:]]="ULSD",VLOOKUP(Table2[[#This Row],[New Engine Model Year:]],EFTable[],4,FALSE),VLOOKUP(Table2[[#This Row],[New Engine Fuel Type:]],EFTable[],4,FALSE)))</f>
        <v/>
      </c>
      <c r="BI84" s="191" t="str">
        <f>IF(Table2[[#This Row],[Counter Number]]="","",Table2[[#This Row],[Old Bus PM2.5 Emissions (tons/yr)]]-Table2[[#This Row],[New Bus PM2.5 Emissions (tons/yr)]])</f>
        <v/>
      </c>
      <c r="BJ84" s="192" t="str">
        <f>IF(Table2[[#This Row],[Counter Number]]="","",Table2[[#This Row],[Reduction Bus PM2.5 Emissions (tons/yr)]]/Table2[[#This Row],[Old Bus PM2.5 Emissions (tons/yr)]])</f>
        <v/>
      </c>
      <c r="BK84" s="193" t="str">
        <f>IF(Table2[[#This Row],[Counter Number]]="","",Table2[[#This Row],[Reduction Bus PM2.5 Emissions (tons/yr)]]*Table2[[#This Row],[Remaining Life:]])</f>
        <v/>
      </c>
      <c r="BL84" s="194" t="str">
        <f>IF(Table2[[#This Row],[Counter Number]]="","",IF(Table2[[#This Row],[Lifetime PM2.5 Reduction (tons)]]=0,"NA",Table2[[#This Row],[Upgrade Cost Per Unit]]/Table2[[#This Row],[Lifetime PM2.5 Reduction (tons)]]))</f>
        <v/>
      </c>
      <c r="BM84" s="179" t="str">
        <f>IF(Table2[[#This Row],[Counter Number]]="","",Table2[[#This Row],[Annual Miles Traveled:]]*VLOOKUP(Table2[[#This Row],[Engine Model Year:]],EF!$A$2:$G$40,5,FALSE))</f>
        <v/>
      </c>
      <c r="BN84" s="173" t="str">
        <f>IF(Table2[[#This Row],[Counter Number]]="","",Table2[[#This Row],[Annual Miles Traveled:]]*IF(Table2[[#This Row],[New Engine Fuel Type:]]="ULSD",VLOOKUP(Table2[[#This Row],[New Engine Model Year:]],EFTable[],5,FALSE),VLOOKUP(Table2[[#This Row],[New Engine Fuel Type:]],EFTable[],5,FALSE)))</f>
        <v/>
      </c>
      <c r="BO84" s="190" t="str">
        <f>IF(Table2[[#This Row],[Counter Number]]="","",Table2[[#This Row],[Old Bus HC Emissions (tons/yr)]]-Table2[[#This Row],[New Bus HC Emissions (tons/yr)]])</f>
        <v/>
      </c>
      <c r="BP84" s="188" t="str">
        <f>IF(Table2[[#This Row],[Counter Number]]="","",Table2[[#This Row],[Reduction Bus HC Emissions (tons/yr)]]/Table2[[#This Row],[Old Bus HC Emissions (tons/yr)]])</f>
        <v/>
      </c>
      <c r="BQ84" s="193" t="str">
        <f>IF(Table2[[#This Row],[Counter Number]]="","",Table2[[#This Row],[Reduction Bus HC Emissions (tons/yr)]]*Table2[[#This Row],[Remaining Life:]])</f>
        <v/>
      </c>
      <c r="BR84" s="194" t="str">
        <f>IF(Table2[[#This Row],[Counter Number]]="","",IF(Table2[[#This Row],[Lifetime HC Reduction (tons)]]=0,"NA",Table2[[#This Row],[Upgrade Cost Per Unit]]/Table2[[#This Row],[Lifetime HC Reduction (tons)]]))</f>
        <v/>
      </c>
      <c r="BS84" s="191" t="str">
        <f>IF(Table2[[#This Row],[Counter Number]]="","",Table2[[#This Row],[Annual Miles Traveled:]]*VLOOKUP(Table2[[#This Row],[Engine Model Year:]],EF!$A$2:$G$27,6,FALSE))</f>
        <v/>
      </c>
      <c r="BT84" s="173" t="str">
        <f>IF(Table2[[#This Row],[Counter Number]]="","",Table2[[#This Row],[Annual Miles Traveled:]]*IF(Table2[[#This Row],[New Engine Fuel Type:]]="ULSD",VLOOKUP(Table2[[#This Row],[New Engine Model Year:]],EFTable[],6,FALSE),VLOOKUP(Table2[[#This Row],[New Engine Fuel Type:]],EFTable[],6,FALSE)))</f>
        <v/>
      </c>
      <c r="BU84" s="190" t="str">
        <f>IF(Table2[[#This Row],[Counter Number]]="","",Table2[[#This Row],[Old Bus CO Emissions (tons/yr)]]-Table2[[#This Row],[New Bus CO Emissions (tons/yr)]])</f>
        <v/>
      </c>
      <c r="BV84" s="188" t="str">
        <f>IF(Table2[[#This Row],[Counter Number]]="","",Table2[[#This Row],[Reduction Bus CO Emissions (tons/yr)]]/Table2[[#This Row],[Old Bus CO Emissions (tons/yr)]])</f>
        <v/>
      </c>
      <c r="BW84" s="193" t="str">
        <f>IF(Table2[[#This Row],[Counter Number]]="","",Table2[[#This Row],[Reduction Bus CO Emissions (tons/yr)]]*Table2[[#This Row],[Remaining Life:]])</f>
        <v/>
      </c>
      <c r="BX84" s="194" t="str">
        <f>IF(Table2[[#This Row],[Counter Number]]="","",IF(Table2[[#This Row],[Lifetime CO Reduction (tons)]]=0,"NA",Table2[[#This Row],[Upgrade Cost Per Unit]]/Table2[[#This Row],[Lifetime CO Reduction (tons)]]))</f>
        <v/>
      </c>
      <c r="BY84" s="180" t="str">
        <f>IF(Table2[[#This Row],[Counter Number]]="","",Table2[[#This Row],[Old ULSD Used (gal):]]*VLOOKUP(Table2[[#This Row],[Engine Model Year:]],EF!$A$2:$G$27,7,FALSE))</f>
        <v/>
      </c>
      <c r="BZ8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4" s="195" t="str">
        <f>IF(Table2[[#This Row],[Counter Number]]="","",Table2[[#This Row],[Old Bus CO2 Emissions (tons/yr)]]-Table2[[#This Row],[New Bus CO2 Emissions (tons/yr)]])</f>
        <v/>
      </c>
      <c r="CB84" s="188" t="str">
        <f>IF(Table2[[#This Row],[Counter Number]]="","",Table2[[#This Row],[Reduction Bus CO2 Emissions (tons/yr)]]/Table2[[#This Row],[Old Bus CO2 Emissions (tons/yr)]])</f>
        <v/>
      </c>
      <c r="CC84" s="195" t="str">
        <f>IF(Table2[[#This Row],[Counter Number]]="","",Table2[[#This Row],[Reduction Bus CO2 Emissions (tons/yr)]]*Table2[[#This Row],[Remaining Life:]])</f>
        <v/>
      </c>
      <c r="CD84" s="194" t="str">
        <f>IF(Table2[[#This Row],[Counter Number]]="","",IF(Table2[[#This Row],[Lifetime CO2 Reduction (tons)]]=0,"NA",Table2[[#This Row],[Upgrade Cost Per Unit]]/Table2[[#This Row],[Lifetime CO2 Reduction (tons)]]))</f>
        <v/>
      </c>
      <c r="CE84" s="182" t="str">
        <f>IF(Table2[[#This Row],[Counter Number]]="","",IF(Table2[[#This Row],[New ULSD Used (gal):]]="",Table2[[#This Row],[Old ULSD Used (gal):]],Table2[[#This Row],[Old ULSD Used (gal):]]-Table2[[#This Row],[New ULSD Used (gal):]]))</f>
        <v/>
      </c>
      <c r="CF84" s="196" t="str">
        <f>IF(Table2[[#This Row],[Counter Number]]="","",Table2[[#This Row],[Diesel Fuel Reduction (gal/yr)]]/Table2[[#This Row],[Old ULSD Used (gal):]])</f>
        <v/>
      </c>
      <c r="CG84" s="197" t="str">
        <f>IF(Table2[[#This Row],[Counter Number]]="","",Table2[[#This Row],[Diesel Fuel Reduction (gal/yr)]]*Table2[[#This Row],[Remaining Life:]])</f>
        <v/>
      </c>
    </row>
    <row r="85" spans="1:85">
      <c r="A85" s="184" t="str">
        <f>IF(A84&lt;Application!$D$24,A84+1,"")</f>
        <v/>
      </c>
      <c r="B85" s="60" t="str">
        <f>IF(Table2[[#This Row],[Counter Number]]="","",Application!$D$16)</f>
        <v/>
      </c>
      <c r="C85" s="60" t="str">
        <f>IF(Table2[[#This Row],[Counter Number]]="","",Application!$D$14)</f>
        <v/>
      </c>
      <c r="D85" s="60" t="str">
        <f>IF(Table2[[#This Row],[Counter Number]]="","",Table1[[#This Row],[Old Bus Number]])</f>
        <v/>
      </c>
      <c r="E85" s="60" t="str">
        <f>IF(Table2[[#This Row],[Counter Number]]="","",Application!$D$15)</f>
        <v/>
      </c>
      <c r="F85" s="60" t="str">
        <f>IF(Table2[[#This Row],[Counter Number]]="","","On Highway")</f>
        <v/>
      </c>
      <c r="G85" s="60" t="str">
        <f>IF(Table2[[#This Row],[Counter Number]]="","",I85)</f>
        <v/>
      </c>
      <c r="H85" s="60" t="str">
        <f>IF(Table2[[#This Row],[Counter Number]]="","","Georgia")</f>
        <v/>
      </c>
      <c r="I85" s="60" t="str">
        <f>IF(Table2[[#This Row],[Counter Number]]="","",Application!$D$16)</f>
        <v/>
      </c>
      <c r="J85" s="60" t="str">
        <f>IF(Table2[[#This Row],[Counter Number]]="","",Application!$D$21)</f>
        <v/>
      </c>
      <c r="K85" s="60" t="str">
        <f>IF(Table2[[#This Row],[Counter Number]]="","",Application!$J$21)</f>
        <v/>
      </c>
      <c r="L85" s="60" t="str">
        <f>IF(Table2[[#This Row],[Counter Number]]="","","School Bus")</f>
        <v/>
      </c>
      <c r="M85" s="60" t="str">
        <f>IF(Table2[[#This Row],[Counter Number]]="","","School Bus")</f>
        <v/>
      </c>
      <c r="N85" s="60" t="str">
        <f>IF(Table2[[#This Row],[Counter Number]]="","",1)</f>
        <v/>
      </c>
      <c r="O85" s="60" t="str">
        <f>IF(Table2[[#This Row],[Counter Number]]="","",Table1[[#This Row],[Vehicle Identification Number(s):]])</f>
        <v/>
      </c>
      <c r="P85" s="60" t="str">
        <f>IF(Table2[[#This Row],[Counter Number]]="","",Table1[[#This Row],[Old Bus Manufacturer:]])</f>
        <v/>
      </c>
      <c r="Q85" s="60" t="str">
        <f>IF(Table2[[#This Row],[Counter Number]]="","",Table1[[#This Row],[Vehicle Model:]])</f>
        <v/>
      </c>
      <c r="R85" s="165" t="str">
        <f>IF(Table2[[#This Row],[Counter Number]]="","",Table1[[#This Row],[Vehicle Model Year:]])</f>
        <v/>
      </c>
      <c r="S85" s="60" t="str">
        <f>IF(Table2[[#This Row],[Counter Number]]="","",Table1[[#This Row],[Engine Serial Number(s):]])</f>
        <v/>
      </c>
      <c r="T85" s="60" t="str">
        <f>IF(Table2[[#This Row],[Counter Number]]="","",Table1[[#This Row],[Engine Make:]])</f>
        <v/>
      </c>
      <c r="U85" s="60" t="str">
        <f>IF(Table2[[#This Row],[Counter Number]]="","",Table1[[#This Row],[Engine Model:]])</f>
        <v/>
      </c>
      <c r="V85" s="165" t="str">
        <f>IF(Table2[[#This Row],[Counter Number]]="","",Table1[[#This Row],[Engine Model Year:]])</f>
        <v/>
      </c>
      <c r="W85" s="60" t="str">
        <f>IF(Table2[[#This Row],[Counter Number]]="","","NA")</f>
        <v/>
      </c>
      <c r="X85" s="165" t="str">
        <f>IF(Table2[[#This Row],[Counter Number]]="","",Table1[[#This Row],[Engine Horsepower (HP):]])</f>
        <v/>
      </c>
      <c r="Y85" s="165" t="str">
        <f>IF(Table2[[#This Row],[Counter Number]]="","",Table1[[#This Row],[Engine Cylinder Displacement (L):]]&amp;" L")</f>
        <v/>
      </c>
      <c r="Z85" s="165" t="str">
        <f>IF(Table2[[#This Row],[Counter Number]]="","",Table1[[#This Row],[Engine Number of Cylinders:]])</f>
        <v/>
      </c>
      <c r="AA85" s="166" t="str">
        <f>IF(Table2[[#This Row],[Counter Number]]="","",Table1[[#This Row],[Engine Family Name:]])</f>
        <v/>
      </c>
      <c r="AB85" s="60" t="str">
        <f>IF(Table2[[#This Row],[Counter Number]]="","","ULSD")</f>
        <v/>
      </c>
      <c r="AC85" s="167" t="str">
        <f>IF(Table2[[#This Row],[Counter Number]]="","",Table2[[#This Row],[Annual Miles Traveled:]]/Table1[[#This Row],[Old Fuel (mpg)]])</f>
        <v/>
      </c>
      <c r="AD85" s="60" t="str">
        <f>IF(Table2[[#This Row],[Counter Number]]="","","NA")</f>
        <v/>
      </c>
      <c r="AE85" s="168" t="str">
        <f>IF(Table2[[#This Row],[Counter Number]]="","",Table1[[#This Row],[Annual Miles Traveled]])</f>
        <v/>
      </c>
      <c r="AF85" s="169" t="str">
        <f>IF(Table2[[#This Row],[Counter Number]]="","",Table1[[#This Row],[Annual Idling Hours:]])</f>
        <v/>
      </c>
      <c r="AG85" s="60" t="str">
        <f>IF(Table2[[#This Row],[Counter Number]]="","","NA")</f>
        <v/>
      </c>
      <c r="AH85" s="165" t="str">
        <f>IF(Table2[[#This Row],[Counter Number]]="","",IF(Application!$J$25="Set Policy",Table1[[#This Row],[Remaining Life (years)         Set Policy]],Table1[[#This Row],[Remaining Life (years)               Case-by-Case]]))</f>
        <v/>
      </c>
      <c r="AI85" s="165" t="str">
        <f>IF(Table2[[#This Row],[Counter Number]]="","",IF(Application!$J$25="Case-by-Case","NA",Table2[[#This Row],[Fiscal Year of EPA Funds Used:]]+Table2[[#This Row],[Remaining Life:]]))</f>
        <v/>
      </c>
      <c r="AJ85" s="165"/>
      <c r="AK85" s="170" t="str">
        <f>IF(Table2[[#This Row],[Counter Number]]="","",Application!$D$14+1)</f>
        <v/>
      </c>
      <c r="AL85" s="60" t="str">
        <f>IF(Table2[[#This Row],[Counter Number]]="","","Vehicle Replacement")</f>
        <v/>
      </c>
      <c r="AM8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5" s="171" t="str">
        <f>IF(Table2[[#This Row],[Counter Number]]="","",Table1[[#This Row],[Cost of New Bus:]])</f>
        <v/>
      </c>
      <c r="AO85" s="60" t="str">
        <f>IF(Table2[[#This Row],[Counter Number]]="","","NA")</f>
        <v/>
      </c>
      <c r="AP85" s="165" t="str">
        <f>IF(Table2[[#This Row],[Counter Number]]="","",Table1[[#This Row],[New Engine Model Year:]])</f>
        <v/>
      </c>
      <c r="AQ85" s="60" t="str">
        <f>IF(Table2[[#This Row],[Counter Number]]="","","NA")</f>
        <v/>
      </c>
      <c r="AR85" s="165" t="str">
        <f>IF(Table2[[#This Row],[Counter Number]]="","",Table1[[#This Row],[New Engine Horsepower (HP):]])</f>
        <v/>
      </c>
      <c r="AS85" s="60" t="str">
        <f>IF(Table2[[#This Row],[Counter Number]]="","","NA")</f>
        <v/>
      </c>
      <c r="AT85" s="165" t="str">
        <f>IF(Table2[[#This Row],[Counter Number]]="","",Table1[[#This Row],[New Engine Cylinder Displacement (L):]]&amp;" L")</f>
        <v/>
      </c>
      <c r="AU85" s="114" t="str">
        <f>IF(Table2[[#This Row],[Counter Number]]="","",Table1[[#This Row],[New Engine Number of Cylinders:]])</f>
        <v/>
      </c>
      <c r="AV85" s="60" t="str">
        <f>IF(Table2[[#This Row],[Counter Number]]="","",Table1[[#This Row],[New Engine Family Name:]])</f>
        <v/>
      </c>
      <c r="AW8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5" s="60" t="str">
        <f>IF(Table2[[#This Row],[Counter Number]]="","","NA")</f>
        <v/>
      </c>
      <c r="AY85" s="172" t="str">
        <f>IF(Table2[[#This Row],[Counter Number]]="","",IF(Table2[[#This Row],[New Engine Fuel Type:]]="ULSD",Table1[[#This Row],[Annual Miles Traveled]]/Table1[[#This Row],[New Fuel (mpg) if Diesel]],""))</f>
        <v/>
      </c>
      <c r="AZ85" s="60"/>
      <c r="BA85" s="173" t="str">
        <f>IF(Table2[[#This Row],[Counter Number]]="","",Table2[[#This Row],[Annual Miles Traveled:]]*VLOOKUP(Table2[[#This Row],[Engine Model Year:]],EFTable[],3,FALSE))</f>
        <v/>
      </c>
      <c r="BB85" s="173" t="str">
        <f>IF(Table2[[#This Row],[Counter Number]]="","",Table2[[#This Row],[Annual Miles Traveled:]]*IF(Table2[[#This Row],[New Engine Fuel Type:]]="ULSD",VLOOKUP(Table2[[#This Row],[New Engine Model Year:]],EFTable[],3,FALSE),VLOOKUP(Table2[[#This Row],[New Engine Fuel Type:]],EFTable[],3,FALSE)))</f>
        <v/>
      </c>
      <c r="BC85" s="187" t="str">
        <f>IF(Table2[[#This Row],[Counter Number]]="","",Table2[[#This Row],[Old Bus NOx Emissions (tons/yr)]]-Table2[[#This Row],[New Bus NOx Emissions (tons/yr)]])</f>
        <v/>
      </c>
      <c r="BD85" s="188" t="str">
        <f>IF(Table2[[#This Row],[Counter Number]]="","",Table2[[#This Row],[Reduction Bus NOx Emissions (tons/yr)]]/Table2[[#This Row],[Old Bus NOx Emissions (tons/yr)]])</f>
        <v/>
      </c>
      <c r="BE85" s="175" t="str">
        <f>IF(Table2[[#This Row],[Counter Number]]="","",Table2[[#This Row],[Reduction Bus NOx Emissions (tons/yr)]]*Table2[[#This Row],[Remaining Life:]])</f>
        <v/>
      </c>
      <c r="BF85" s="189" t="str">
        <f>IF(Table2[[#This Row],[Counter Number]]="","",IF(Table2[[#This Row],[Lifetime NOx Reduction (tons)]]=0,"NA",Table2[[#This Row],[Upgrade Cost Per Unit]]/Table2[[#This Row],[Lifetime NOx Reduction (tons)]]))</f>
        <v/>
      </c>
      <c r="BG85" s="190" t="str">
        <f>IF(Table2[[#This Row],[Counter Number]]="","",Table2[[#This Row],[Annual Miles Traveled:]]*VLOOKUP(Table2[[#This Row],[Engine Model Year:]],EF!$A$2:$G$27,4,FALSE))</f>
        <v/>
      </c>
      <c r="BH85" s="173" t="str">
        <f>IF(Table2[[#This Row],[Counter Number]]="","",Table2[[#This Row],[Annual Miles Traveled:]]*IF(Table2[[#This Row],[New Engine Fuel Type:]]="ULSD",VLOOKUP(Table2[[#This Row],[New Engine Model Year:]],EFTable[],4,FALSE),VLOOKUP(Table2[[#This Row],[New Engine Fuel Type:]],EFTable[],4,FALSE)))</f>
        <v/>
      </c>
      <c r="BI85" s="191" t="str">
        <f>IF(Table2[[#This Row],[Counter Number]]="","",Table2[[#This Row],[Old Bus PM2.5 Emissions (tons/yr)]]-Table2[[#This Row],[New Bus PM2.5 Emissions (tons/yr)]])</f>
        <v/>
      </c>
      <c r="BJ85" s="192" t="str">
        <f>IF(Table2[[#This Row],[Counter Number]]="","",Table2[[#This Row],[Reduction Bus PM2.5 Emissions (tons/yr)]]/Table2[[#This Row],[Old Bus PM2.5 Emissions (tons/yr)]])</f>
        <v/>
      </c>
      <c r="BK85" s="193" t="str">
        <f>IF(Table2[[#This Row],[Counter Number]]="","",Table2[[#This Row],[Reduction Bus PM2.5 Emissions (tons/yr)]]*Table2[[#This Row],[Remaining Life:]])</f>
        <v/>
      </c>
      <c r="BL85" s="194" t="str">
        <f>IF(Table2[[#This Row],[Counter Number]]="","",IF(Table2[[#This Row],[Lifetime PM2.5 Reduction (tons)]]=0,"NA",Table2[[#This Row],[Upgrade Cost Per Unit]]/Table2[[#This Row],[Lifetime PM2.5 Reduction (tons)]]))</f>
        <v/>
      </c>
      <c r="BM85" s="179" t="str">
        <f>IF(Table2[[#This Row],[Counter Number]]="","",Table2[[#This Row],[Annual Miles Traveled:]]*VLOOKUP(Table2[[#This Row],[Engine Model Year:]],EF!$A$2:$G$40,5,FALSE))</f>
        <v/>
      </c>
      <c r="BN85" s="173" t="str">
        <f>IF(Table2[[#This Row],[Counter Number]]="","",Table2[[#This Row],[Annual Miles Traveled:]]*IF(Table2[[#This Row],[New Engine Fuel Type:]]="ULSD",VLOOKUP(Table2[[#This Row],[New Engine Model Year:]],EFTable[],5,FALSE),VLOOKUP(Table2[[#This Row],[New Engine Fuel Type:]],EFTable[],5,FALSE)))</f>
        <v/>
      </c>
      <c r="BO85" s="190" t="str">
        <f>IF(Table2[[#This Row],[Counter Number]]="","",Table2[[#This Row],[Old Bus HC Emissions (tons/yr)]]-Table2[[#This Row],[New Bus HC Emissions (tons/yr)]])</f>
        <v/>
      </c>
      <c r="BP85" s="188" t="str">
        <f>IF(Table2[[#This Row],[Counter Number]]="","",Table2[[#This Row],[Reduction Bus HC Emissions (tons/yr)]]/Table2[[#This Row],[Old Bus HC Emissions (tons/yr)]])</f>
        <v/>
      </c>
      <c r="BQ85" s="193" t="str">
        <f>IF(Table2[[#This Row],[Counter Number]]="","",Table2[[#This Row],[Reduction Bus HC Emissions (tons/yr)]]*Table2[[#This Row],[Remaining Life:]])</f>
        <v/>
      </c>
      <c r="BR85" s="194" t="str">
        <f>IF(Table2[[#This Row],[Counter Number]]="","",IF(Table2[[#This Row],[Lifetime HC Reduction (tons)]]=0,"NA",Table2[[#This Row],[Upgrade Cost Per Unit]]/Table2[[#This Row],[Lifetime HC Reduction (tons)]]))</f>
        <v/>
      </c>
      <c r="BS85" s="191" t="str">
        <f>IF(Table2[[#This Row],[Counter Number]]="","",Table2[[#This Row],[Annual Miles Traveled:]]*VLOOKUP(Table2[[#This Row],[Engine Model Year:]],EF!$A$2:$G$27,6,FALSE))</f>
        <v/>
      </c>
      <c r="BT85" s="173" t="str">
        <f>IF(Table2[[#This Row],[Counter Number]]="","",Table2[[#This Row],[Annual Miles Traveled:]]*IF(Table2[[#This Row],[New Engine Fuel Type:]]="ULSD",VLOOKUP(Table2[[#This Row],[New Engine Model Year:]],EFTable[],6,FALSE),VLOOKUP(Table2[[#This Row],[New Engine Fuel Type:]],EFTable[],6,FALSE)))</f>
        <v/>
      </c>
      <c r="BU85" s="190" t="str">
        <f>IF(Table2[[#This Row],[Counter Number]]="","",Table2[[#This Row],[Old Bus CO Emissions (tons/yr)]]-Table2[[#This Row],[New Bus CO Emissions (tons/yr)]])</f>
        <v/>
      </c>
      <c r="BV85" s="188" t="str">
        <f>IF(Table2[[#This Row],[Counter Number]]="","",Table2[[#This Row],[Reduction Bus CO Emissions (tons/yr)]]/Table2[[#This Row],[Old Bus CO Emissions (tons/yr)]])</f>
        <v/>
      </c>
      <c r="BW85" s="193" t="str">
        <f>IF(Table2[[#This Row],[Counter Number]]="","",Table2[[#This Row],[Reduction Bus CO Emissions (tons/yr)]]*Table2[[#This Row],[Remaining Life:]])</f>
        <v/>
      </c>
      <c r="BX85" s="194" t="str">
        <f>IF(Table2[[#This Row],[Counter Number]]="","",IF(Table2[[#This Row],[Lifetime CO Reduction (tons)]]=0,"NA",Table2[[#This Row],[Upgrade Cost Per Unit]]/Table2[[#This Row],[Lifetime CO Reduction (tons)]]))</f>
        <v/>
      </c>
      <c r="BY85" s="180" t="str">
        <f>IF(Table2[[#This Row],[Counter Number]]="","",Table2[[#This Row],[Old ULSD Used (gal):]]*VLOOKUP(Table2[[#This Row],[Engine Model Year:]],EF!$A$2:$G$27,7,FALSE))</f>
        <v/>
      </c>
      <c r="BZ8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5" s="195" t="str">
        <f>IF(Table2[[#This Row],[Counter Number]]="","",Table2[[#This Row],[Old Bus CO2 Emissions (tons/yr)]]-Table2[[#This Row],[New Bus CO2 Emissions (tons/yr)]])</f>
        <v/>
      </c>
      <c r="CB85" s="188" t="str">
        <f>IF(Table2[[#This Row],[Counter Number]]="","",Table2[[#This Row],[Reduction Bus CO2 Emissions (tons/yr)]]/Table2[[#This Row],[Old Bus CO2 Emissions (tons/yr)]])</f>
        <v/>
      </c>
      <c r="CC85" s="195" t="str">
        <f>IF(Table2[[#This Row],[Counter Number]]="","",Table2[[#This Row],[Reduction Bus CO2 Emissions (tons/yr)]]*Table2[[#This Row],[Remaining Life:]])</f>
        <v/>
      </c>
      <c r="CD85" s="194" t="str">
        <f>IF(Table2[[#This Row],[Counter Number]]="","",IF(Table2[[#This Row],[Lifetime CO2 Reduction (tons)]]=0,"NA",Table2[[#This Row],[Upgrade Cost Per Unit]]/Table2[[#This Row],[Lifetime CO2 Reduction (tons)]]))</f>
        <v/>
      </c>
      <c r="CE85" s="182" t="str">
        <f>IF(Table2[[#This Row],[Counter Number]]="","",IF(Table2[[#This Row],[New ULSD Used (gal):]]="",Table2[[#This Row],[Old ULSD Used (gal):]],Table2[[#This Row],[Old ULSD Used (gal):]]-Table2[[#This Row],[New ULSD Used (gal):]]))</f>
        <v/>
      </c>
      <c r="CF85" s="196" t="str">
        <f>IF(Table2[[#This Row],[Counter Number]]="","",Table2[[#This Row],[Diesel Fuel Reduction (gal/yr)]]/Table2[[#This Row],[Old ULSD Used (gal):]])</f>
        <v/>
      </c>
      <c r="CG85" s="197" t="str">
        <f>IF(Table2[[#This Row],[Counter Number]]="","",Table2[[#This Row],[Diesel Fuel Reduction (gal/yr)]]*Table2[[#This Row],[Remaining Life:]])</f>
        <v/>
      </c>
    </row>
    <row r="86" spans="1:85">
      <c r="A86" s="184" t="str">
        <f>IF(A85&lt;Application!$D$24,A85+1,"")</f>
        <v/>
      </c>
      <c r="B86" s="60" t="str">
        <f>IF(Table2[[#This Row],[Counter Number]]="","",Application!$D$16)</f>
        <v/>
      </c>
      <c r="C86" s="60" t="str">
        <f>IF(Table2[[#This Row],[Counter Number]]="","",Application!$D$14)</f>
        <v/>
      </c>
      <c r="D86" s="60" t="str">
        <f>IF(Table2[[#This Row],[Counter Number]]="","",Table1[[#This Row],[Old Bus Number]])</f>
        <v/>
      </c>
      <c r="E86" s="60" t="str">
        <f>IF(Table2[[#This Row],[Counter Number]]="","",Application!$D$15)</f>
        <v/>
      </c>
      <c r="F86" s="60" t="str">
        <f>IF(Table2[[#This Row],[Counter Number]]="","","On Highway")</f>
        <v/>
      </c>
      <c r="G86" s="60" t="str">
        <f>IF(Table2[[#This Row],[Counter Number]]="","",I86)</f>
        <v/>
      </c>
      <c r="H86" s="60" t="str">
        <f>IF(Table2[[#This Row],[Counter Number]]="","","Georgia")</f>
        <v/>
      </c>
      <c r="I86" s="60" t="str">
        <f>IF(Table2[[#This Row],[Counter Number]]="","",Application!$D$16)</f>
        <v/>
      </c>
      <c r="J86" s="60" t="str">
        <f>IF(Table2[[#This Row],[Counter Number]]="","",Application!$D$21)</f>
        <v/>
      </c>
      <c r="K86" s="60" t="str">
        <f>IF(Table2[[#This Row],[Counter Number]]="","",Application!$J$21)</f>
        <v/>
      </c>
      <c r="L86" s="60" t="str">
        <f>IF(Table2[[#This Row],[Counter Number]]="","","School Bus")</f>
        <v/>
      </c>
      <c r="M86" s="60" t="str">
        <f>IF(Table2[[#This Row],[Counter Number]]="","","School Bus")</f>
        <v/>
      </c>
      <c r="N86" s="60" t="str">
        <f>IF(Table2[[#This Row],[Counter Number]]="","",1)</f>
        <v/>
      </c>
      <c r="O86" s="60" t="str">
        <f>IF(Table2[[#This Row],[Counter Number]]="","",Table1[[#This Row],[Vehicle Identification Number(s):]])</f>
        <v/>
      </c>
      <c r="P86" s="60" t="str">
        <f>IF(Table2[[#This Row],[Counter Number]]="","",Table1[[#This Row],[Old Bus Manufacturer:]])</f>
        <v/>
      </c>
      <c r="Q86" s="60" t="str">
        <f>IF(Table2[[#This Row],[Counter Number]]="","",Table1[[#This Row],[Vehicle Model:]])</f>
        <v/>
      </c>
      <c r="R86" s="165" t="str">
        <f>IF(Table2[[#This Row],[Counter Number]]="","",Table1[[#This Row],[Vehicle Model Year:]])</f>
        <v/>
      </c>
      <c r="S86" s="60" t="str">
        <f>IF(Table2[[#This Row],[Counter Number]]="","",Table1[[#This Row],[Engine Serial Number(s):]])</f>
        <v/>
      </c>
      <c r="T86" s="60" t="str">
        <f>IF(Table2[[#This Row],[Counter Number]]="","",Table1[[#This Row],[Engine Make:]])</f>
        <v/>
      </c>
      <c r="U86" s="60" t="str">
        <f>IF(Table2[[#This Row],[Counter Number]]="","",Table1[[#This Row],[Engine Model:]])</f>
        <v/>
      </c>
      <c r="V86" s="165" t="str">
        <f>IF(Table2[[#This Row],[Counter Number]]="","",Table1[[#This Row],[Engine Model Year:]])</f>
        <v/>
      </c>
      <c r="W86" s="60" t="str">
        <f>IF(Table2[[#This Row],[Counter Number]]="","","NA")</f>
        <v/>
      </c>
      <c r="X86" s="165" t="str">
        <f>IF(Table2[[#This Row],[Counter Number]]="","",Table1[[#This Row],[Engine Horsepower (HP):]])</f>
        <v/>
      </c>
      <c r="Y86" s="165" t="str">
        <f>IF(Table2[[#This Row],[Counter Number]]="","",Table1[[#This Row],[Engine Cylinder Displacement (L):]]&amp;" L")</f>
        <v/>
      </c>
      <c r="Z86" s="165" t="str">
        <f>IF(Table2[[#This Row],[Counter Number]]="","",Table1[[#This Row],[Engine Number of Cylinders:]])</f>
        <v/>
      </c>
      <c r="AA86" s="166" t="str">
        <f>IF(Table2[[#This Row],[Counter Number]]="","",Table1[[#This Row],[Engine Family Name:]])</f>
        <v/>
      </c>
      <c r="AB86" s="60" t="str">
        <f>IF(Table2[[#This Row],[Counter Number]]="","","ULSD")</f>
        <v/>
      </c>
      <c r="AC86" s="167" t="str">
        <f>IF(Table2[[#This Row],[Counter Number]]="","",Table2[[#This Row],[Annual Miles Traveled:]]/Table1[[#This Row],[Old Fuel (mpg)]])</f>
        <v/>
      </c>
      <c r="AD86" s="60" t="str">
        <f>IF(Table2[[#This Row],[Counter Number]]="","","NA")</f>
        <v/>
      </c>
      <c r="AE86" s="168" t="str">
        <f>IF(Table2[[#This Row],[Counter Number]]="","",Table1[[#This Row],[Annual Miles Traveled]])</f>
        <v/>
      </c>
      <c r="AF86" s="169" t="str">
        <f>IF(Table2[[#This Row],[Counter Number]]="","",Table1[[#This Row],[Annual Idling Hours:]])</f>
        <v/>
      </c>
      <c r="AG86" s="60" t="str">
        <f>IF(Table2[[#This Row],[Counter Number]]="","","NA")</f>
        <v/>
      </c>
      <c r="AH86" s="165" t="str">
        <f>IF(Table2[[#This Row],[Counter Number]]="","",IF(Application!$J$25="Set Policy",Table1[[#This Row],[Remaining Life (years)         Set Policy]],Table1[[#This Row],[Remaining Life (years)               Case-by-Case]]))</f>
        <v/>
      </c>
      <c r="AI86" s="165" t="str">
        <f>IF(Table2[[#This Row],[Counter Number]]="","",IF(Application!$J$25="Case-by-Case","NA",Table2[[#This Row],[Fiscal Year of EPA Funds Used:]]+Table2[[#This Row],[Remaining Life:]]))</f>
        <v/>
      </c>
      <c r="AJ86" s="165"/>
      <c r="AK86" s="170" t="str">
        <f>IF(Table2[[#This Row],[Counter Number]]="","",Application!$D$14+1)</f>
        <v/>
      </c>
      <c r="AL86" s="60" t="str">
        <f>IF(Table2[[#This Row],[Counter Number]]="","","Vehicle Replacement")</f>
        <v/>
      </c>
      <c r="AM8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6" s="171" t="str">
        <f>IF(Table2[[#This Row],[Counter Number]]="","",Table1[[#This Row],[Cost of New Bus:]])</f>
        <v/>
      </c>
      <c r="AO86" s="60" t="str">
        <f>IF(Table2[[#This Row],[Counter Number]]="","","NA")</f>
        <v/>
      </c>
      <c r="AP86" s="165" t="str">
        <f>IF(Table2[[#This Row],[Counter Number]]="","",Table1[[#This Row],[New Engine Model Year:]])</f>
        <v/>
      </c>
      <c r="AQ86" s="60" t="str">
        <f>IF(Table2[[#This Row],[Counter Number]]="","","NA")</f>
        <v/>
      </c>
      <c r="AR86" s="165" t="str">
        <f>IF(Table2[[#This Row],[Counter Number]]="","",Table1[[#This Row],[New Engine Horsepower (HP):]])</f>
        <v/>
      </c>
      <c r="AS86" s="60" t="str">
        <f>IF(Table2[[#This Row],[Counter Number]]="","","NA")</f>
        <v/>
      </c>
      <c r="AT86" s="165" t="str">
        <f>IF(Table2[[#This Row],[Counter Number]]="","",Table1[[#This Row],[New Engine Cylinder Displacement (L):]]&amp;" L")</f>
        <v/>
      </c>
      <c r="AU86" s="114" t="str">
        <f>IF(Table2[[#This Row],[Counter Number]]="","",Table1[[#This Row],[New Engine Number of Cylinders:]])</f>
        <v/>
      </c>
      <c r="AV86" s="60" t="str">
        <f>IF(Table2[[#This Row],[Counter Number]]="","",Table1[[#This Row],[New Engine Family Name:]])</f>
        <v/>
      </c>
      <c r="AW8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6" s="60" t="str">
        <f>IF(Table2[[#This Row],[Counter Number]]="","","NA")</f>
        <v/>
      </c>
      <c r="AY86" s="172" t="str">
        <f>IF(Table2[[#This Row],[Counter Number]]="","",IF(Table2[[#This Row],[New Engine Fuel Type:]]="ULSD",Table1[[#This Row],[Annual Miles Traveled]]/Table1[[#This Row],[New Fuel (mpg) if Diesel]],""))</f>
        <v/>
      </c>
      <c r="AZ86" s="60"/>
      <c r="BA86" s="173" t="str">
        <f>IF(Table2[[#This Row],[Counter Number]]="","",Table2[[#This Row],[Annual Miles Traveled:]]*VLOOKUP(Table2[[#This Row],[Engine Model Year:]],EFTable[],3,FALSE))</f>
        <v/>
      </c>
      <c r="BB86" s="173" t="str">
        <f>IF(Table2[[#This Row],[Counter Number]]="","",Table2[[#This Row],[Annual Miles Traveled:]]*IF(Table2[[#This Row],[New Engine Fuel Type:]]="ULSD",VLOOKUP(Table2[[#This Row],[New Engine Model Year:]],EFTable[],3,FALSE),VLOOKUP(Table2[[#This Row],[New Engine Fuel Type:]],EFTable[],3,FALSE)))</f>
        <v/>
      </c>
      <c r="BC86" s="187" t="str">
        <f>IF(Table2[[#This Row],[Counter Number]]="","",Table2[[#This Row],[Old Bus NOx Emissions (tons/yr)]]-Table2[[#This Row],[New Bus NOx Emissions (tons/yr)]])</f>
        <v/>
      </c>
      <c r="BD86" s="188" t="str">
        <f>IF(Table2[[#This Row],[Counter Number]]="","",Table2[[#This Row],[Reduction Bus NOx Emissions (tons/yr)]]/Table2[[#This Row],[Old Bus NOx Emissions (tons/yr)]])</f>
        <v/>
      </c>
      <c r="BE86" s="175" t="str">
        <f>IF(Table2[[#This Row],[Counter Number]]="","",Table2[[#This Row],[Reduction Bus NOx Emissions (tons/yr)]]*Table2[[#This Row],[Remaining Life:]])</f>
        <v/>
      </c>
      <c r="BF86" s="189" t="str">
        <f>IF(Table2[[#This Row],[Counter Number]]="","",IF(Table2[[#This Row],[Lifetime NOx Reduction (tons)]]=0,"NA",Table2[[#This Row],[Upgrade Cost Per Unit]]/Table2[[#This Row],[Lifetime NOx Reduction (tons)]]))</f>
        <v/>
      </c>
      <c r="BG86" s="190" t="str">
        <f>IF(Table2[[#This Row],[Counter Number]]="","",Table2[[#This Row],[Annual Miles Traveled:]]*VLOOKUP(Table2[[#This Row],[Engine Model Year:]],EF!$A$2:$G$27,4,FALSE))</f>
        <v/>
      </c>
      <c r="BH86" s="173" t="str">
        <f>IF(Table2[[#This Row],[Counter Number]]="","",Table2[[#This Row],[Annual Miles Traveled:]]*IF(Table2[[#This Row],[New Engine Fuel Type:]]="ULSD",VLOOKUP(Table2[[#This Row],[New Engine Model Year:]],EFTable[],4,FALSE),VLOOKUP(Table2[[#This Row],[New Engine Fuel Type:]],EFTable[],4,FALSE)))</f>
        <v/>
      </c>
      <c r="BI86" s="191" t="str">
        <f>IF(Table2[[#This Row],[Counter Number]]="","",Table2[[#This Row],[Old Bus PM2.5 Emissions (tons/yr)]]-Table2[[#This Row],[New Bus PM2.5 Emissions (tons/yr)]])</f>
        <v/>
      </c>
      <c r="BJ86" s="192" t="str">
        <f>IF(Table2[[#This Row],[Counter Number]]="","",Table2[[#This Row],[Reduction Bus PM2.5 Emissions (tons/yr)]]/Table2[[#This Row],[Old Bus PM2.5 Emissions (tons/yr)]])</f>
        <v/>
      </c>
      <c r="BK86" s="193" t="str">
        <f>IF(Table2[[#This Row],[Counter Number]]="","",Table2[[#This Row],[Reduction Bus PM2.5 Emissions (tons/yr)]]*Table2[[#This Row],[Remaining Life:]])</f>
        <v/>
      </c>
      <c r="BL86" s="194" t="str">
        <f>IF(Table2[[#This Row],[Counter Number]]="","",IF(Table2[[#This Row],[Lifetime PM2.5 Reduction (tons)]]=0,"NA",Table2[[#This Row],[Upgrade Cost Per Unit]]/Table2[[#This Row],[Lifetime PM2.5 Reduction (tons)]]))</f>
        <v/>
      </c>
      <c r="BM86" s="179" t="str">
        <f>IF(Table2[[#This Row],[Counter Number]]="","",Table2[[#This Row],[Annual Miles Traveled:]]*VLOOKUP(Table2[[#This Row],[Engine Model Year:]],EF!$A$2:$G$40,5,FALSE))</f>
        <v/>
      </c>
      <c r="BN86" s="173" t="str">
        <f>IF(Table2[[#This Row],[Counter Number]]="","",Table2[[#This Row],[Annual Miles Traveled:]]*IF(Table2[[#This Row],[New Engine Fuel Type:]]="ULSD",VLOOKUP(Table2[[#This Row],[New Engine Model Year:]],EFTable[],5,FALSE),VLOOKUP(Table2[[#This Row],[New Engine Fuel Type:]],EFTable[],5,FALSE)))</f>
        <v/>
      </c>
      <c r="BO86" s="190" t="str">
        <f>IF(Table2[[#This Row],[Counter Number]]="","",Table2[[#This Row],[Old Bus HC Emissions (tons/yr)]]-Table2[[#This Row],[New Bus HC Emissions (tons/yr)]])</f>
        <v/>
      </c>
      <c r="BP86" s="188" t="str">
        <f>IF(Table2[[#This Row],[Counter Number]]="","",Table2[[#This Row],[Reduction Bus HC Emissions (tons/yr)]]/Table2[[#This Row],[Old Bus HC Emissions (tons/yr)]])</f>
        <v/>
      </c>
      <c r="BQ86" s="193" t="str">
        <f>IF(Table2[[#This Row],[Counter Number]]="","",Table2[[#This Row],[Reduction Bus HC Emissions (tons/yr)]]*Table2[[#This Row],[Remaining Life:]])</f>
        <v/>
      </c>
      <c r="BR86" s="194" t="str">
        <f>IF(Table2[[#This Row],[Counter Number]]="","",IF(Table2[[#This Row],[Lifetime HC Reduction (tons)]]=0,"NA",Table2[[#This Row],[Upgrade Cost Per Unit]]/Table2[[#This Row],[Lifetime HC Reduction (tons)]]))</f>
        <v/>
      </c>
      <c r="BS86" s="191" t="str">
        <f>IF(Table2[[#This Row],[Counter Number]]="","",Table2[[#This Row],[Annual Miles Traveled:]]*VLOOKUP(Table2[[#This Row],[Engine Model Year:]],EF!$A$2:$G$27,6,FALSE))</f>
        <v/>
      </c>
      <c r="BT86" s="173" t="str">
        <f>IF(Table2[[#This Row],[Counter Number]]="","",Table2[[#This Row],[Annual Miles Traveled:]]*IF(Table2[[#This Row],[New Engine Fuel Type:]]="ULSD",VLOOKUP(Table2[[#This Row],[New Engine Model Year:]],EFTable[],6,FALSE),VLOOKUP(Table2[[#This Row],[New Engine Fuel Type:]],EFTable[],6,FALSE)))</f>
        <v/>
      </c>
      <c r="BU86" s="190" t="str">
        <f>IF(Table2[[#This Row],[Counter Number]]="","",Table2[[#This Row],[Old Bus CO Emissions (tons/yr)]]-Table2[[#This Row],[New Bus CO Emissions (tons/yr)]])</f>
        <v/>
      </c>
      <c r="BV86" s="188" t="str">
        <f>IF(Table2[[#This Row],[Counter Number]]="","",Table2[[#This Row],[Reduction Bus CO Emissions (tons/yr)]]/Table2[[#This Row],[Old Bus CO Emissions (tons/yr)]])</f>
        <v/>
      </c>
      <c r="BW86" s="193" t="str">
        <f>IF(Table2[[#This Row],[Counter Number]]="","",Table2[[#This Row],[Reduction Bus CO Emissions (tons/yr)]]*Table2[[#This Row],[Remaining Life:]])</f>
        <v/>
      </c>
      <c r="BX86" s="194" t="str">
        <f>IF(Table2[[#This Row],[Counter Number]]="","",IF(Table2[[#This Row],[Lifetime CO Reduction (tons)]]=0,"NA",Table2[[#This Row],[Upgrade Cost Per Unit]]/Table2[[#This Row],[Lifetime CO Reduction (tons)]]))</f>
        <v/>
      </c>
      <c r="BY86" s="180" t="str">
        <f>IF(Table2[[#This Row],[Counter Number]]="","",Table2[[#This Row],[Old ULSD Used (gal):]]*VLOOKUP(Table2[[#This Row],[Engine Model Year:]],EF!$A$2:$G$27,7,FALSE))</f>
        <v/>
      </c>
      <c r="BZ8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6" s="195" t="str">
        <f>IF(Table2[[#This Row],[Counter Number]]="","",Table2[[#This Row],[Old Bus CO2 Emissions (tons/yr)]]-Table2[[#This Row],[New Bus CO2 Emissions (tons/yr)]])</f>
        <v/>
      </c>
      <c r="CB86" s="188" t="str">
        <f>IF(Table2[[#This Row],[Counter Number]]="","",Table2[[#This Row],[Reduction Bus CO2 Emissions (tons/yr)]]/Table2[[#This Row],[Old Bus CO2 Emissions (tons/yr)]])</f>
        <v/>
      </c>
      <c r="CC86" s="195" t="str">
        <f>IF(Table2[[#This Row],[Counter Number]]="","",Table2[[#This Row],[Reduction Bus CO2 Emissions (tons/yr)]]*Table2[[#This Row],[Remaining Life:]])</f>
        <v/>
      </c>
      <c r="CD86" s="194" t="str">
        <f>IF(Table2[[#This Row],[Counter Number]]="","",IF(Table2[[#This Row],[Lifetime CO2 Reduction (tons)]]=0,"NA",Table2[[#This Row],[Upgrade Cost Per Unit]]/Table2[[#This Row],[Lifetime CO2 Reduction (tons)]]))</f>
        <v/>
      </c>
      <c r="CE86" s="182" t="str">
        <f>IF(Table2[[#This Row],[Counter Number]]="","",IF(Table2[[#This Row],[New ULSD Used (gal):]]="",Table2[[#This Row],[Old ULSD Used (gal):]],Table2[[#This Row],[Old ULSD Used (gal):]]-Table2[[#This Row],[New ULSD Used (gal):]]))</f>
        <v/>
      </c>
      <c r="CF86" s="196" t="str">
        <f>IF(Table2[[#This Row],[Counter Number]]="","",Table2[[#This Row],[Diesel Fuel Reduction (gal/yr)]]/Table2[[#This Row],[Old ULSD Used (gal):]])</f>
        <v/>
      </c>
      <c r="CG86" s="197" t="str">
        <f>IF(Table2[[#This Row],[Counter Number]]="","",Table2[[#This Row],[Diesel Fuel Reduction (gal/yr)]]*Table2[[#This Row],[Remaining Life:]])</f>
        <v/>
      </c>
    </row>
    <row r="87" spans="1:85">
      <c r="A87" s="184" t="str">
        <f>IF(A86&lt;Application!$D$24,A86+1,"")</f>
        <v/>
      </c>
      <c r="B87" s="60" t="str">
        <f>IF(Table2[[#This Row],[Counter Number]]="","",Application!$D$16)</f>
        <v/>
      </c>
      <c r="C87" s="60" t="str">
        <f>IF(Table2[[#This Row],[Counter Number]]="","",Application!$D$14)</f>
        <v/>
      </c>
      <c r="D87" s="60" t="str">
        <f>IF(Table2[[#This Row],[Counter Number]]="","",Table1[[#This Row],[Old Bus Number]])</f>
        <v/>
      </c>
      <c r="E87" s="60" t="str">
        <f>IF(Table2[[#This Row],[Counter Number]]="","",Application!$D$15)</f>
        <v/>
      </c>
      <c r="F87" s="60" t="str">
        <f>IF(Table2[[#This Row],[Counter Number]]="","","On Highway")</f>
        <v/>
      </c>
      <c r="G87" s="60" t="str">
        <f>IF(Table2[[#This Row],[Counter Number]]="","",I87)</f>
        <v/>
      </c>
      <c r="H87" s="60" t="str">
        <f>IF(Table2[[#This Row],[Counter Number]]="","","Georgia")</f>
        <v/>
      </c>
      <c r="I87" s="60" t="str">
        <f>IF(Table2[[#This Row],[Counter Number]]="","",Application!$D$16)</f>
        <v/>
      </c>
      <c r="J87" s="60" t="str">
        <f>IF(Table2[[#This Row],[Counter Number]]="","",Application!$D$21)</f>
        <v/>
      </c>
      <c r="K87" s="60" t="str">
        <f>IF(Table2[[#This Row],[Counter Number]]="","",Application!$J$21)</f>
        <v/>
      </c>
      <c r="L87" s="60" t="str">
        <f>IF(Table2[[#This Row],[Counter Number]]="","","School Bus")</f>
        <v/>
      </c>
      <c r="M87" s="60" t="str">
        <f>IF(Table2[[#This Row],[Counter Number]]="","","School Bus")</f>
        <v/>
      </c>
      <c r="N87" s="60" t="str">
        <f>IF(Table2[[#This Row],[Counter Number]]="","",1)</f>
        <v/>
      </c>
      <c r="O87" s="60" t="str">
        <f>IF(Table2[[#This Row],[Counter Number]]="","",Table1[[#This Row],[Vehicle Identification Number(s):]])</f>
        <v/>
      </c>
      <c r="P87" s="60" t="str">
        <f>IF(Table2[[#This Row],[Counter Number]]="","",Table1[[#This Row],[Old Bus Manufacturer:]])</f>
        <v/>
      </c>
      <c r="Q87" s="60" t="str">
        <f>IF(Table2[[#This Row],[Counter Number]]="","",Table1[[#This Row],[Vehicle Model:]])</f>
        <v/>
      </c>
      <c r="R87" s="165" t="str">
        <f>IF(Table2[[#This Row],[Counter Number]]="","",Table1[[#This Row],[Vehicle Model Year:]])</f>
        <v/>
      </c>
      <c r="S87" s="60" t="str">
        <f>IF(Table2[[#This Row],[Counter Number]]="","",Table1[[#This Row],[Engine Serial Number(s):]])</f>
        <v/>
      </c>
      <c r="T87" s="60" t="str">
        <f>IF(Table2[[#This Row],[Counter Number]]="","",Table1[[#This Row],[Engine Make:]])</f>
        <v/>
      </c>
      <c r="U87" s="60" t="str">
        <f>IF(Table2[[#This Row],[Counter Number]]="","",Table1[[#This Row],[Engine Model:]])</f>
        <v/>
      </c>
      <c r="V87" s="165" t="str">
        <f>IF(Table2[[#This Row],[Counter Number]]="","",Table1[[#This Row],[Engine Model Year:]])</f>
        <v/>
      </c>
      <c r="W87" s="60" t="str">
        <f>IF(Table2[[#This Row],[Counter Number]]="","","NA")</f>
        <v/>
      </c>
      <c r="X87" s="165" t="str">
        <f>IF(Table2[[#This Row],[Counter Number]]="","",Table1[[#This Row],[Engine Horsepower (HP):]])</f>
        <v/>
      </c>
      <c r="Y87" s="165" t="str">
        <f>IF(Table2[[#This Row],[Counter Number]]="","",Table1[[#This Row],[Engine Cylinder Displacement (L):]]&amp;" L")</f>
        <v/>
      </c>
      <c r="Z87" s="165" t="str">
        <f>IF(Table2[[#This Row],[Counter Number]]="","",Table1[[#This Row],[Engine Number of Cylinders:]])</f>
        <v/>
      </c>
      <c r="AA87" s="166" t="str">
        <f>IF(Table2[[#This Row],[Counter Number]]="","",Table1[[#This Row],[Engine Family Name:]])</f>
        <v/>
      </c>
      <c r="AB87" s="60" t="str">
        <f>IF(Table2[[#This Row],[Counter Number]]="","","ULSD")</f>
        <v/>
      </c>
      <c r="AC87" s="167" t="str">
        <f>IF(Table2[[#This Row],[Counter Number]]="","",Table2[[#This Row],[Annual Miles Traveled:]]/Table1[[#This Row],[Old Fuel (mpg)]])</f>
        <v/>
      </c>
      <c r="AD87" s="60" t="str">
        <f>IF(Table2[[#This Row],[Counter Number]]="","","NA")</f>
        <v/>
      </c>
      <c r="AE87" s="168" t="str">
        <f>IF(Table2[[#This Row],[Counter Number]]="","",Table1[[#This Row],[Annual Miles Traveled]])</f>
        <v/>
      </c>
      <c r="AF87" s="169" t="str">
        <f>IF(Table2[[#This Row],[Counter Number]]="","",Table1[[#This Row],[Annual Idling Hours:]])</f>
        <v/>
      </c>
      <c r="AG87" s="60" t="str">
        <f>IF(Table2[[#This Row],[Counter Number]]="","","NA")</f>
        <v/>
      </c>
      <c r="AH87" s="165" t="str">
        <f>IF(Table2[[#This Row],[Counter Number]]="","",IF(Application!$J$25="Set Policy",Table1[[#This Row],[Remaining Life (years)         Set Policy]],Table1[[#This Row],[Remaining Life (years)               Case-by-Case]]))</f>
        <v/>
      </c>
      <c r="AI87" s="165" t="str">
        <f>IF(Table2[[#This Row],[Counter Number]]="","",IF(Application!$J$25="Case-by-Case","NA",Table2[[#This Row],[Fiscal Year of EPA Funds Used:]]+Table2[[#This Row],[Remaining Life:]]))</f>
        <v/>
      </c>
      <c r="AJ87" s="165"/>
      <c r="AK87" s="170" t="str">
        <f>IF(Table2[[#This Row],[Counter Number]]="","",Application!$D$14+1)</f>
        <v/>
      </c>
      <c r="AL87" s="60" t="str">
        <f>IF(Table2[[#This Row],[Counter Number]]="","","Vehicle Replacement")</f>
        <v/>
      </c>
      <c r="AM8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7" s="171" t="str">
        <f>IF(Table2[[#This Row],[Counter Number]]="","",Table1[[#This Row],[Cost of New Bus:]])</f>
        <v/>
      </c>
      <c r="AO87" s="60" t="str">
        <f>IF(Table2[[#This Row],[Counter Number]]="","","NA")</f>
        <v/>
      </c>
      <c r="AP87" s="165" t="str">
        <f>IF(Table2[[#This Row],[Counter Number]]="","",Table1[[#This Row],[New Engine Model Year:]])</f>
        <v/>
      </c>
      <c r="AQ87" s="60" t="str">
        <f>IF(Table2[[#This Row],[Counter Number]]="","","NA")</f>
        <v/>
      </c>
      <c r="AR87" s="165" t="str">
        <f>IF(Table2[[#This Row],[Counter Number]]="","",Table1[[#This Row],[New Engine Horsepower (HP):]])</f>
        <v/>
      </c>
      <c r="AS87" s="60" t="str">
        <f>IF(Table2[[#This Row],[Counter Number]]="","","NA")</f>
        <v/>
      </c>
      <c r="AT87" s="165" t="str">
        <f>IF(Table2[[#This Row],[Counter Number]]="","",Table1[[#This Row],[New Engine Cylinder Displacement (L):]]&amp;" L")</f>
        <v/>
      </c>
      <c r="AU87" s="114" t="str">
        <f>IF(Table2[[#This Row],[Counter Number]]="","",Table1[[#This Row],[New Engine Number of Cylinders:]])</f>
        <v/>
      </c>
      <c r="AV87" s="60" t="str">
        <f>IF(Table2[[#This Row],[Counter Number]]="","",Table1[[#This Row],[New Engine Family Name:]])</f>
        <v/>
      </c>
      <c r="AW8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7" s="60" t="str">
        <f>IF(Table2[[#This Row],[Counter Number]]="","","NA")</f>
        <v/>
      </c>
      <c r="AY87" s="172" t="str">
        <f>IF(Table2[[#This Row],[Counter Number]]="","",IF(Table2[[#This Row],[New Engine Fuel Type:]]="ULSD",Table1[[#This Row],[Annual Miles Traveled]]/Table1[[#This Row],[New Fuel (mpg) if Diesel]],""))</f>
        <v/>
      </c>
      <c r="AZ87" s="60"/>
      <c r="BA87" s="173" t="str">
        <f>IF(Table2[[#This Row],[Counter Number]]="","",Table2[[#This Row],[Annual Miles Traveled:]]*VLOOKUP(Table2[[#This Row],[Engine Model Year:]],EFTable[],3,FALSE))</f>
        <v/>
      </c>
      <c r="BB87" s="173" t="str">
        <f>IF(Table2[[#This Row],[Counter Number]]="","",Table2[[#This Row],[Annual Miles Traveled:]]*IF(Table2[[#This Row],[New Engine Fuel Type:]]="ULSD",VLOOKUP(Table2[[#This Row],[New Engine Model Year:]],EFTable[],3,FALSE),VLOOKUP(Table2[[#This Row],[New Engine Fuel Type:]],EFTable[],3,FALSE)))</f>
        <v/>
      </c>
      <c r="BC87" s="187" t="str">
        <f>IF(Table2[[#This Row],[Counter Number]]="","",Table2[[#This Row],[Old Bus NOx Emissions (tons/yr)]]-Table2[[#This Row],[New Bus NOx Emissions (tons/yr)]])</f>
        <v/>
      </c>
      <c r="BD87" s="188" t="str">
        <f>IF(Table2[[#This Row],[Counter Number]]="","",Table2[[#This Row],[Reduction Bus NOx Emissions (tons/yr)]]/Table2[[#This Row],[Old Bus NOx Emissions (tons/yr)]])</f>
        <v/>
      </c>
      <c r="BE87" s="175" t="str">
        <f>IF(Table2[[#This Row],[Counter Number]]="","",Table2[[#This Row],[Reduction Bus NOx Emissions (tons/yr)]]*Table2[[#This Row],[Remaining Life:]])</f>
        <v/>
      </c>
      <c r="BF87" s="189" t="str">
        <f>IF(Table2[[#This Row],[Counter Number]]="","",IF(Table2[[#This Row],[Lifetime NOx Reduction (tons)]]=0,"NA",Table2[[#This Row],[Upgrade Cost Per Unit]]/Table2[[#This Row],[Lifetime NOx Reduction (tons)]]))</f>
        <v/>
      </c>
      <c r="BG87" s="190" t="str">
        <f>IF(Table2[[#This Row],[Counter Number]]="","",Table2[[#This Row],[Annual Miles Traveled:]]*VLOOKUP(Table2[[#This Row],[Engine Model Year:]],EF!$A$2:$G$27,4,FALSE))</f>
        <v/>
      </c>
      <c r="BH87" s="173" t="str">
        <f>IF(Table2[[#This Row],[Counter Number]]="","",Table2[[#This Row],[Annual Miles Traveled:]]*IF(Table2[[#This Row],[New Engine Fuel Type:]]="ULSD",VLOOKUP(Table2[[#This Row],[New Engine Model Year:]],EFTable[],4,FALSE),VLOOKUP(Table2[[#This Row],[New Engine Fuel Type:]],EFTable[],4,FALSE)))</f>
        <v/>
      </c>
      <c r="BI87" s="191" t="str">
        <f>IF(Table2[[#This Row],[Counter Number]]="","",Table2[[#This Row],[Old Bus PM2.5 Emissions (tons/yr)]]-Table2[[#This Row],[New Bus PM2.5 Emissions (tons/yr)]])</f>
        <v/>
      </c>
      <c r="BJ87" s="192" t="str">
        <f>IF(Table2[[#This Row],[Counter Number]]="","",Table2[[#This Row],[Reduction Bus PM2.5 Emissions (tons/yr)]]/Table2[[#This Row],[Old Bus PM2.5 Emissions (tons/yr)]])</f>
        <v/>
      </c>
      <c r="BK87" s="193" t="str">
        <f>IF(Table2[[#This Row],[Counter Number]]="","",Table2[[#This Row],[Reduction Bus PM2.5 Emissions (tons/yr)]]*Table2[[#This Row],[Remaining Life:]])</f>
        <v/>
      </c>
      <c r="BL87" s="194" t="str">
        <f>IF(Table2[[#This Row],[Counter Number]]="","",IF(Table2[[#This Row],[Lifetime PM2.5 Reduction (tons)]]=0,"NA",Table2[[#This Row],[Upgrade Cost Per Unit]]/Table2[[#This Row],[Lifetime PM2.5 Reduction (tons)]]))</f>
        <v/>
      </c>
      <c r="BM87" s="179" t="str">
        <f>IF(Table2[[#This Row],[Counter Number]]="","",Table2[[#This Row],[Annual Miles Traveled:]]*VLOOKUP(Table2[[#This Row],[Engine Model Year:]],EF!$A$2:$G$40,5,FALSE))</f>
        <v/>
      </c>
      <c r="BN87" s="173" t="str">
        <f>IF(Table2[[#This Row],[Counter Number]]="","",Table2[[#This Row],[Annual Miles Traveled:]]*IF(Table2[[#This Row],[New Engine Fuel Type:]]="ULSD",VLOOKUP(Table2[[#This Row],[New Engine Model Year:]],EFTable[],5,FALSE),VLOOKUP(Table2[[#This Row],[New Engine Fuel Type:]],EFTable[],5,FALSE)))</f>
        <v/>
      </c>
      <c r="BO87" s="190" t="str">
        <f>IF(Table2[[#This Row],[Counter Number]]="","",Table2[[#This Row],[Old Bus HC Emissions (tons/yr)]]-Table2[[#This Row],[New Bus HC Emissions (tons/yr)]])</f>
        <v/>
      </c>
      <c r="BP87" s="188" t="str">
        <f>IF(Table2[[#This Row],[Counter Number]]="","",Table2[[#This Row],[Reduction Bus HC Emissions (tons/yr)]]/Table2[[#This Row],[Old Bus HC Emissions (tons/yr)]])</f>
        <v/>
      </c>
      <c r="BQ87" s="193" t="str">
        <f>IF(Table2[[#This Row],[Counter Number]]="","",Table2[[#This Row],[Reduction Bus HC Emissions (tons/yr)]]*Table2[[#This Row],[Remaining Life:]])</f>
        <v/>
      </c>
      <c r="BR87" s="194" t="str">
        <f>IF(Table2[[#This Row],[Counter Number]]="","",IF(Table2[[#This Row],[Lifetime HC Reduction (tons)]]=0,"NA",Table2[[#This Row],[Upgrade Cost Per Unit]]/Table2[[#This Row],[Lifetime HC Reduction (tons)]]))</f>
        <v/>
      </c>
      <c r="BS87" s="191" t="str">
        <f>IF(Table2[[#This Row],[Counter Number]]="","",Table2[[#This Row],[Annual Miles Traveled:]]*VLOOKUP(Table2[[#This Row],[Engine Model Year:]],EF!$A$2:$G$27,6,FALSE))</f>
        <v/>
      </c>
      <c r="BT87" s="173" t="str">
        <f>IF(Table2[[#This Row],[Counter Number]]="","",Table2[[#This Row],[Annual Miles Traveled:]]*IF(Table2[[#This Row],[New Engine Fuel Type:]]="ULSD",VLOOKUP(Table2[[#This Row],[New Engine Model Year:]],EFTable[],6,FALSE),VLOOKUP(Table2[[#This Row],[New Engine Fuel Type:]],EFTable[],6,FALSE)))</f>
        <v/>
      </c>
      <c r="BU87" s="190" t="str">
        <f>IF(Table2[[#This Row],[Counter Number]]="","",Table2[[#This Row],[Old Bus CO Emissions (tons/yr)]]-Table2[[#This Row],[New Bus CO Emissions (tons/yr)]])</f>
        <v/>
      </c>
      <c r="BV87" s="188" t="str">
        <f>IF(Table2[[#This Row],[Counter Number]]="","",Table2[[#This Row],[Reduction Bus CO Emissions (tons/yr)]]/Table2[[#This Row],[Old Bus CO Emissions (tons/yr)]])</f>
        <v/>
      </c>
      <c r="BW87" s="193" t="str">
        <f>IF(Table2[[#This Row],[Counter Number]]="","",Table2[[#This Row],[Reduction Bus CO Emissions (tons/yr)]]*Table2[[#This Row],[Remaining Life:]])</f>
        <v/>
      </c>
      <c r="BX87" s="194" t="str">
        <f>IF(Table2[[#This Row],[Counter Number]]="","",IF(Table2[[#This Row],[Lifetime CO Reduction (tons)]]=0,"NA",Table2[[#This Row],[Upgrade Cost Per Unit]]/Table2[[#This Row],[Lifetime CO Reduction (tons)]]))</f>
        <v/>
      </c>
      <c r="BY87" s="180" t="str">
        <f>IF(Table2[[#This Row],[Counter Number]]="","",Table2[[#This Row],[Old ULSD Used (gal):]]*VLOOKUP(Table2[[#This Row],[Engine Model Year:]],EF!$A$2:$G$27,7,FALSE))</f>
        <v/>
      </c>
      <c r="BZ8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7" s="195" t="str">
        <f>IF(Table2[[#This Row],[Counter Number]]="","",Table2[[#This Row],[Old Bus CO2 Emissions (tons/yr)]]-Table2[[#This Row],[New Bus CO2 Emissions (tons/yr)]])</f>
        <v/>
      </c>
      <c r="CB87" s="188" t="str">
        <f>IF(Table2[[#This Row],[Counter Number]]="","",Table2[[#This Row],[Reduction Bus CO2 Emissions (tons/yr)]]/Table2[[#This Row],[Old Bus CO2 Emissions (tons/yr)]])</f>
        <v/>
      </c>
      <c r="CC87" s="195" t="str">
        <f>IF(Table2[[#This Row],[Counter Number]]="","",Table2[[#This Row],[Reduction Bus CO2 Emissions (tons/yr)]]*Table2[[#This Row],[Remaining Life:]])</f>
        <v/>
      </c>
      <c r="CD87" s="194" t="str">
        <f>IF(Table2[[#This Row],[Counter Number]]="","",IF(Table2[[#This Row],[Lifetime CO2 Reduction (tons)]]=0,"NA",Table2[[#This Row],[Upgrade Cost Per Unit]]/Table2[[#This Row],[Lifetime CO2 Reduction (tons)]]))</f>
        <v/>
      </c>
      <c r="CE87" s="182" t="str">
        <f>IF(Table2[[#This Row],[Counter Number]]="","",IF(Table2[[#This Row],[New ULSD Used (gal):]]="",Table2[[#This Row],[Old ULSD Used (gal):]],Table2[[#This Row],[Old ULSD Used (gal):]]-Table2[[#This Row],[New ULSD Used (gal):]]))</f>
        <v/>
      </c>
      <c r="CF87" s="196" t="str">
        <f>IF(Table2[[#This Row],[Counter Number]]="","",Table2[[#This Row],[Diesel Fuel Reduction (gal/yr)]]/Table2[[#This Row],[Old ULSD Used (gal):]])</f>
        <v/>
      </c>
      <c r="CG87" s="197" t="str">
        <f>IF(Table2[[#This Row],[Counter Number]]="","",Table2[[#This Row],[Diesel Fuel Reduction (gal/yr)]]*Table2[[#This Row],[Remaining Life:]])</f>
        <v/>
      </c>
    </row>
    <row r="88" spans="1:85">
      <c r="A88" s="184" t="str">
        <f>IF(A87&lt;Application!$D$24,A87+1,"")</f>
        <v/>
      </c>
      <c r="B88" s="60" t="str">
        <f>IF(Table2[[#This Row],[Counter Number]]="","",Application!$D$16)</f>
        <v/>
      </c>
      <c r="C88" s="60" t="str">
        <f>IF(Table2[[#This Row],[Counter Number]]="","",Application!$D$14)</f>
        <v/>
      </c>
      <c r="D88" s="60" t="str">
        <f>IF(Table2[[#This Row],[Counter Number]]="","",Table1[[#This Row],[Old Bus Number]])</f>
        <v/>
      </c>
      <c r="E88" s="60" t="str">
        <f>IF(Table2[[#This Row],[Counter Number]]="","",Application!$D$15)</f>
        <v/>
      </c>
      <c r="F88" s="60" t="str">
        <f>IF(Table2[[#This Row],[Counter Number]]="","","On Highway")</f>
        <v/>
      </c>
      <c r="G88" s="60" t="str">
        <f>IF(Table2[[#This Row],[Counter Number]]="","",I88)</f>
        <v/>
      </c>
      <c r="H88" s="60" t="str">
        <f>IF(Table2[[#This Row],[Counter Number]]="","","Georgia")</f>
        <v/>
      </c>
      <c r="I88" s="60" t="str">
        <f>IF(Table2[[#This Row],[Counter Number]]="","",Application!$D$16)</f>
        <v/>
      </c>
      <c r="J88" s="60" t="str">
        <f>IF(Table2[[#This Row],[Counter Number]]="","",Application!$D$21)</f>
        <v/>
      </c>
      <c r="K88" s="60" t="str">
        <f>IF(Table2[[#This Row],[Counter Number]]="","",Application!$J$21)</f>
        <v/>
      </c>
      <c r="L88" s="60" t="str">
        <f>IF(Table2[[#This Row],[Counter Number]]="","","School Bus")</f>
        <v/>
      </c>
      <c r="M88" s="60" t="str">
        <f>IF(Table2[[#This Row],[Counter Number]]="","","School Bus")</f>
        <v/>
      </c>
      <c r="N88" s="60" t="str">
        <f>IF(Table2[[#This Row],[Counter Number]]="","",1)</f>
        <v/>
      </c>
      <c r="O88" s="60" t="str">
        <f>IF(Table2[[#This Row],[Counter Number]]="","",Table1[[#This Row],[Vehicle Identification Number(s):]])</f>
        <v/>
      </c>
      <c r="P88" s="60" t="str">
        <f>IF(Table2[[#This Row],[Counter Number]]="","",Table1[[#This Row],[Old Bus Manufacturer:]])</f>
        <v/>
      </c>
      <c r="Q88" s="60" t="str">
        <f>IF(Table2[[#This Row],[Counter Number]]="","",Table1[[#This Row],[Vehicle Model:]])</f>
        <v/>
      </c>
      <c r="R88" s="165" t="str">
        <f>IF(Table2[[#This Row],[Counter Number]]="","",Table1[[#This Row],[Vehicle Model Year:]])</f>
        <v/>
      </c>
      <c r="S88" s="60" t="str">
        <f>IF(Table2[[#This Row],[Counter Number]]="","",Table1[[#This Row],[Engine Serial Number(s):]])</f>
        <v/>
      </c>
      <c r="T88" s="60" t="str">
        <f>IF(Table2[[#This Row],[Counter Number]]="","",Table1[[#This Row],[Engine Make:]])</f>
        <v/>
      </c>
      <c r="U88" s="60" t="str">
        <f>IF(Table2[[#This Row],[Counter Number]]="","",Table1[[#This Row],[Engine Model:]])</f>
        <v/>
      </c>
      <c r="V88" s="165" t="str">
        <f>IF(Table2[[#This Row],[Counter Number]]="","",Table1[[#This Row],[Engine Model Year:]])</f>
        <v/>
      </c>
      <c r="W88" s="60" t="str">
        <f>IF(Table2[[#This Row],[Counter Number]]="","","NA")</f>
        <v/>
      </c>
      <c r="X88" s="165" t="str">
        <f>IF(Table2[[#This Row],[Counter Number]]="","",Table1[[#This Row],[Engine Horsepower (HP):]])</f>
        <v/>
      </c>
      <c r="Y88" s="165" t="str">
        <f>IF(Table2[[#This Row],[Counter Number]]="","",Table1[[#This Row],[Engine Cylinder Displacement (L):]]&amp;" L")</f>
        <v/>
      </c>
      <c r="Z88" s="165" t="str">
        <f>IF(Table2[[#This Row],[Counter Number]]="","",Table1[[#This Row],[Engine Number of Cylinders:]])</f>
        <v/>
      </c>
      <c r="AA88" s="166" t="str">
        <f>IF(Table2[[#This Row],[Counter Number]]="","",Table1[[#This Row],[Engine Family Name:]])</f>
        <v/>
      </c>
      <c r="AB88" s="60" t="str">
        <f>IF(Table2[[#This Row],[Counter Number]]="","","ULSD")</f>
        <v/>
      </c>
      <c r="AC88" s="167" t="str">
        <f>IF(Table2[[#This Row],[Counter Number]]="","",Table2[[#This Row],[Annual Miles Traveled:]]/Table1[[#This Row],[Old Fuel (mpg)]])</f>
        <v/>
      </c>
      <c r="AD88" s="60" t="str">
        <f>IF(Table2[[#This Row],[Counter Number]]="","","NA")</f>
        <v/>
      </c>
      <c r="AE88" s="168" t="str">
        <f>IF(Table2[[#This Row],[Counter Number]]="","",Table1[[#This Row],[Annual Miles Traveled]])</f>
        <v/>
      </c>
      <c r="AF88" s="169" t="str">
        <f>IF(Table2[[#This Row],[Counter Number]]="","",Table1[[#This Row],[Annual Idling Hours:]])</f>
        <v/>
      </c>
      <c r="AG88" s="60" t="str">
        <f>IF(Table2[[#This Row],[Counter Number]]="","","NA")</f>
        <v/>
      </c>
      <c r="AH88" s="165" t="str">
        <f>IF(Table2[[#This Row],[Counter Number]]="","",IF(Application!$J$25="Set Policy",Table1[[#This Row],[Remaining Life (years)         Set Policy]],Table1[[#This Row],[Remaining Life (years)               Case-by-Case]]))</f>
        <v/>
      </c>
      <c r="AI88" s="165" t="str">
        <f>IF(Table2[[#This Row],[Counter Number]]="","",IF(Application!$J$25="Case-by-Case","NA",Table2[[#This Row],[Fiscal Year of EPA Funds Used:]]+Table2[[#This Row],[Remaining Life:]]))</f>
        <v/>
      </c>
      <c r="AJ88" s="165"/>
      <c r="AK88" s="170" t="str">
        <f>IF(Table2[[#This Row],[Counter Number]]="","",Application!$D$14+1)</f>
        <v/>
      </c>
      <c r="AL88" s="60" t="str">
        <f>IF(Table2[[#This Row],[Counter Number]]="","","Vehicle Replacement")</f>
        <v/>
      </c>
      <c r="AM8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8" s="171" t="str">
        <f>IF(Table2[[#This Row],[Counter Number]]="","",Table1[[#This Row],[Cost of New Bus:]])</f>
        <v/>
      </c>
      <c r="AO88" s="60" t="str">
        <f>IF(Table2[[#This Row],[Counter Number]]="","","NA")</f>
        <v/>
      </c>
      <c r="AP88" s="165" t="str">
        <f>IF(Table2[[#This Row],[Counter Number]]="","",Table1[[#This Row],[New Engine Model Year:]])</f>
        <v/>
      </c>
      <c r="AQ88" s="60" t="str">
        <f>IF(Table2[[#This Row],[Counter Number]]="","","NA")</f>
        <v/>
      </c>
      <c r="AR88" s="165" t="str">
        <f>IF(Table2[[#This Row],[Counter Number]]="","",Table1[[#This Row],[New Engine Horsepower (HP):]])</f>
        <v/>
      </c>
      <c r="AS88" s="60" t="str">
        <f>IF(Table2[[#This Row],[Counter Number]]="","","NA")</f>
        <v/>
      </c>
      <c r="AT88" s="165" t="str">
        <f>IF(Table2[[#This Row],[Counter Number]]="","",Table1[[#This Row],[New Engine Cylinder Displacement (L):]]&amp;" L")</f>
        <v/>
      </c>
      <c r="AU88" s="114" t="str">
        <f>IF(Table2[[#This Row],[Counter Number]]="","",Table1[[#This Row],[New Engine Number of Cylinders:]])</f>
        <v/>
      </c>
      <c r="AV88" s="60" t="str">
        <f>IF(Table2[[#This Row],[Counter Number]]="","",Table1[[#This Row],[New Engine Family Name:]])</f>
        <v/>
      </c>
      <c r="AW8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8" s="60" t="str">
        <f>IF(Table2[[#This Row],[Counter Number]]="","","NA")</f>
        <v/>
      </c>
      <c r="AY88" s="172" t="str">
        <f>IF(Table2[[#This Row],[Counter Number]]="","",IF(Table2[[#This Row],[New Engine Fuel Type:]]="ULSD",Table1[[#This Row],[Annual Miles Traveled]]/Table1[[#This Row],[New Fuel (mpg) if Diesel]],""))</f>
        <v/>
      </c>
      <c r="AZ88" s="60"/>
      <c r="BA88" s="173" t="str">
        <f>IF(Table2[[#This Row],[Counter Number]]="","",Table2[[#This Row],[Annual Miles Traveled:]]*VLOOKUP(Table2[[#This Row],[Engine Model Year:]],EFTable[],3,FALSE))</f>
        <v/>
      </c>
      <c r="BB88" s="173" t="str">
        <f>IF(Table2[[#This Row],[Counter Number]]="","",Table2[[#This Row],[Annual Miles Traveled:]]*IF(Table2[[#This Row],[New Engine Fuel Type:]]="ULSD",VLOOKUP(Table2[[#This Row],[New Engine Model Year:]],EFTable[],3,FALSE),VLOOKUP(Table2[[#This Row],[New Engine Fuel Type:]],EFTable[],3,FALSE)))</f>
        <v/>
      </c>
      <c r="BC88" s="187" t="str">
        <f>IF(Table2[[#This Row],[Counter Number]]="","",Table2[[#This Row],[Old Bus NOx Emissions (tons/yr)]]-Table2[[#This Row],[New Bus NOx Emissions (tons/yr)]])</f>
        <v/>
      </c>
      <c r="BD88" s="188" t="str">
        <f>IF(Table2[[#This Row],[Counter Number]]="","",Table2[[#This Row],[Reduction Bus NOx Emissions (tons/yr)]]/Table2[[#This Row],[Old Bus NOx Emissions (tons/yr)]])</f>
        <v/>
      </c>
      <c r="BE88" s="175" t="str">
        <f>IF(Table2[[#This Row],[Counter Number]]="","",Table2[[#This Row],[Reduction Bus NOx Emissions (tons/yr)]]*Table2[[#This Row],[Remaining Life:]])</f>
        <v/>
      </c>
      <c r="BF88" s="189" t="str">
        <f>IF(Table2[[#This Row],[Counter Number]]="","",IF(Table2[[#This Row],[Lifetime NOx Reduction (tons)]]=0,"NA",Table2[[#This Row],[Upgrade Cost Per Unit]]/Table2[[#This Row],[Lifetime NOx Reduction (tons)]]))</f>
        <v/>
      </c>
      <c r="BG88" s="190" t="str">
        <f>IF(Table2[[#This Row],[Counter Number]]="","",Table2[[#This Row],[Annual Miles Traveled:]]*VLOOKUP(Table2[[#This Row],[Engine Model Year:]],EF!$A$2:$G$27,4,FALSE))</f>
        <v/>
      </c>
      <c r="BH88" s="173" t="str">
        <f>IF(Table2[[#This Row],[Counter Number]]="","",Table2[[#This Row],[Annual Miles Traveled:]]*IF(Table2[[#This Row],[New Engine Fuel Type:]]="ULSD",VLOOKUP(Table2[[#This Row],[New Engine Model Year:]],EFTable[],4,FALSE),VLOOKUP(Table2[[#This Row],[New Engine Fuel Type:]],EFTable[],4,FALSE)))</f>
        <v/>
      </c>
      <c r="BI88" s="191" t="str">
        <f>IF(Table2[[#This Row],[Counter Number]]="","",Table2[[#This Row],[Old Bus PM2.5 Emissions (tons/yr)]]-Table2[[#This Row],[New Bus PM2.5 Emissions (tons/yr)]])</f>
        <v/>
      </c>
      <c r="BJ88" s="192" t="str">
        <f>IF(Table2[[#This Row],[Counter Number]]="","",Table2[[#This Row],[Reduction Bus PM2.5 Emissions (tons/yr)]]/Table2[[#This Row],[Old Bus PM2.5 Emissions (tons/yr)]])</f>
        <v/>
      </c>
      <c r="BK88" s="193" t="str">
        <f>IF(Table2[[#This Row],[Counter Number]]="","",Table2[[#This Row],[Reduction Bus PM2.5 Emissions (tons/yr)]]*Table2[[#This Row],[Remaining Life:]])</f>
        <v/>
      </c>
      <c r="BL88" s="194" t="str">
        <f>IF(Table2[[#This Row],[Counter Number]]="","",IF(Table2[[#This Row],[Lifetime PM2.5 Reduction (tons)]]=0,"NA",Table2[[#This Row],[Upgrade Cost Per Unit]]/Table2[[#This Row],[Lifetime PM2.5 Reduction (tons)]]))</f>
        <v/>
      </c>
      <c r="BM88" s="179" t="str">
        <f>IF(Table2[[#This Row],[Counter Number]]="","",Table2[[#This Row],[Annual Miles Traveled:]]*VLOOKUP(Table2[[#This Row],[Engine Model Year:]],EF!$A$2:$G$40,5,FALSE))</f>
        <v/>
      </c>
      <c r="BN88" s="173" t="str">
        <f>IF(Table2[[#This Row],[Counter Number]]="","",Table2[[#This Row],[Annual Miles Traveled:]]*IF(Table2[[#This Row],[New Engine Fuel Type:]]="ULSD",VLOOKUP(Table2[[#This Row],[New Engine Model Year:]],EFTable[],5,FALSE),VLOOKUP(Table2[[#This Row],[New Engine Fuel Type:]],EFTable[],5,FALSE)))</f>
        <v/>
      </c>
      <c r="BO88" s="190" t="str">
        <f>IF(Table2[[#This Row],[Counter Number]]="","",Table2[[#This Row],[Old Bus HC Emissions (tons/yr)]]-Table2[[#This Row],[New Bus HC Emissions (tons/yr)]])</f>
        <v/>
      </c>
      <c r="BP88" s="188" t="str">
        <f>IF(Table2[[#This Row],[Counter Number]]="","",Table2[[#This Row],[Reduction Bus HC Emissions (tons/yr)]]/Table2[[#This Row],[Old Bus HC Emissions (tons/yr)]])</f>
        <v/>
      </c>
      <c r="BQ88" s="193" t="str">
        <f>IF(Table2[[#This Row],[Counter Number]]="","",Table2[[#This Row],[Reduction Bus HC Emissions (tons/yr)]]*Table2[[#This Row],[Remaining Life:]])</f>
        <v/>
      </c>
      <c r="BR88" s="194" t="str">
        <f>IF(Table2[[#This Row],[Counter Number]]="","",IF(Table2[[#This Row],[Lifetime HC Reduction (tons)]]=0,"NA",Table2[[#This Row],[Upgrade Cost Per Unit]]/Table2[[#This Row],[Lifetime HC Reduction (tons)]]))</f>
        <v/>
      </c>
      <c r="BS88" s="191" t="str">
        <f>IF(Table2[[#This Row],[Counter Number]]="","",Table2[[#This Row],[Annual Miles Traveled:]]*VLOOKUP(Table2[[#This Row],[Engine Model Year:]],EF!$A$2:$G$27,6,FALSE))</f>
        <v/>
      </c>
      <c r="BT88" s="173" t="str">
        <f>IF(Table2[[#This Row],[Counter Number]]="","",Table2[[#This Row],[Annual Miles Traveled:]]*IF(Table2[[#This Row],[New Engine Fuel Type:]]="ULSD",VLOOKUP(Table2[[#This Row],[New Engine Model Year:]],EFTable[],6,FALSE),VLOOKUP(Table2[[#This Row],[New Engine Fuel Type:]],EFTable[],6,FALSE)))</f>
        <v/>
      </c>
      <c r="BU88" s="190" t="str">
        <f>IF(Table2[[#This Row],[Counter Number]]="","",Table2[[#This Row],[Old Bus CO Emissions (tons/yr)]]-Table2[[#This Row],[New Bus CO Emissions (tons/yr)]])</f>
        <v/>
      </c>
      <c r="BV88" s="188" t="str">
        <f>IF(Table2[[#This Row],[Counter Number]]="","",Table2[[#This Row],[Reduction Bus CO Emissions (tons/yr)]]/Table2[[#This Row],[Old Bus CO Emissions (tons/yr)]])</f>
        <v/>
      </c>
      <c r="BW88" s="193" t="str">
        <f>IF(Table2[[#This Row],[Counter Number]]="","",Table2[[#This Row],[Reduction Bus CO Emissions (tons/yr)]]*Table2[[#This Row],[Remaining Life:]])</f>
        <v/>
      </c>
      <c r="BX88" s="194" t="str">
        <f>IF(Table2[[#This Row],[Counter Number]]="","",IF(Table2[[#This Row],[Lifetime CO Reduction (tons)]]=0,"NA",Table2[[#This Row],[Upgrade Cost Per Unit]]/Table2[[#This Row],[Lifetime CO Reduction (tons)]]))</f>
        <v/>
      </c>
      <c r="BY88" s="180" t="str">
        <f>IF(Table2[[#This Row],[Counter Number]]="","",Table2[[#This Row],[Old ULSD Used (gal):]]*VLOOKUP(Table2[[#This Row],[Engine Model Year:]],EF!$A$2:$G$27,7,FALSE))</f>
        <v/>
      </c>
      <c r="BZ8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8" s="195" t="str">
        <f>IF(Table2[[#This Row],[Counter Number]]="","",Table2[[#This Row],[Old Bus CO2 Emissions (tons/yr)]]-Table2[[#This Row],[New Bus CO2 Emissions (tons/yr)]])</f>
        <v/>
      </c>
      <c r="CB88" s="188" t="str">
        <f>IF(Table2[[#This Row],[Counter Number]]="","",Table2[[#This Row],[Reduction Bus CO2 Emissions (tons/yr)]]/Table2[[#This Row],[Old Bus CO2 Emissions (tons/yr)]])</f>
        <v/>
      </c>
      <c r="CC88" s="195" t="str">
        <f>IF(Table2[[#This Row],[Counter Number]]="","",Table2[[#This Row],[Reduction Bus CO2 Emissions (tons/yr)]]*Table2[[#This Row],[Remaining Life:]])</f>
        <v/>
      </c>
      <c r="CD88" s="194" t="str">
        <f>IF(Table2[[#This Row],[Counter Number]]="","",IF(Table2[[#This Row],[Lifetime CO2 Reduction (tons)]]=0,"NA",Table2[[#This Row],[Upgrade Cost Per Unit]]/Table2[[#This Row],[Lifetime CO2 Reduction (tons)]]))</f>
        <v/>
      </c>
      <c r="CE88" s="182" t="str">
        <f>IF(Table2[[#This Row],[Counter Number]]="","",IF(Table2[[#This Row],[New ULSD Used (gal):]]="",Table2[[#This Row],[Old ULSD Used (gal):]],Table2[[#This Row],[Old ULSD Used (gal):]]-Table2[[#This Row],[New ULSD Used (gal):]]))</f>
        <v/>
      </c>
      <c r="CF88" s="196" t="str">
        <f>IF(Table2[[#This Row],[Counter Number]]="","",Table2[[#This Row],[Diesel Fuel Reduction (gal/yr)]]/Table2[[#This Row],[Old ULSD Used (gal):]])</f>
        <v/>
      </c>
      <c r="CG88" s="197" t="str">
        <f>IF(Table2[[#This Row],[Counter Number]]="","",Table2[[#This Row],[Diesel Fuel Reduction (gal/yr)]]*Table2[[#This Row],[Remaining Life:]])</f>
        <v/>
      </c>
    </row>
    <row r="89" spans="1:85">
      <c r="A89" s="184" t="str">
        <f>IF(A88&lt;Application!$D$24,A88+1,"")</f>
        <v/>
      </c>
      <c r="B89" s="60" t="str">
        <f>IF(Table2[[#This Row],[Counter Number]]="","",Application!$D$16)</f>
        <v/>
      </c>
      <c r="C89" s="60" t="str">
        <f>IF(Table2[[#This Row],[Counter Number]]="","",Application!$D$14)</f>
        <v/>
      </c>
      <c r="D89" s="60" t="str">
        <f>IF(Table2[[#This Row],[Counter Number]]="","",Table1[[#This Row],[Old Bus Number]])</f>
        <v/>
      </c>
      <c r="E89" s="60" t="str">
        <f>IF(Table2[[#This Row],[Counter Number]]="","",Application!$D$15)</f>
        <v/>
      </c>
      <c r="F89" s="60" t="str">
        <f>IF(Table2[[#This Row],[Counter Number]]="","","On Highway")</f>
        <v/>
      </c>
      <c r="G89" s="60" t="str">
        <f>IF(Table2[[#This Row],[Counter Number]]="","",I89)</f>
        <v/>
      </c>
      <c r="H89" s="60" t="str">
        <f>IF(Table2[[#This Row],[Counter Number]]="","","Georgia")</f>
        <v/>
      </c>
      <c r="I89" s="60" t="str">
        <f>IF(Table2[[#This Row],[Counter Number]]="","",Application!$D$16)</f>
        <v/>
      </c>
      <c r="J89" s="60" t="str">
        <f>IF(Table2[[#This Row],[Counter Number]]="","",Application!$D$21)</f>
        <v/>
      </c>
      <c r="K89" s="60" t="str">
        <f>IF(Table2[[#This Row],[Counter Number]]="","",Application!$J$21)</f>
        <v/>
      </c>
      <c r="L89" s="60" t="str">
        <f>IF(Table2[[#This Row],[Counter Number]]="","","School Bus")</f>
        <v/>
      </c>
      <c r="M89" s="60" t="str">
        <f>IF(Table2[[#This Row],[Counter Number]]="","","School Bus")</f>
        <v/>
      </c>
      <c r="N89" s="60" t="str">
        <f>IF(Table2[[#This Row],[Counter Number]]="","",1)</f>
        <v/>
      </c>
      <c r="O89" s="60" t="str">
        <f>IF(Table2[[#This Row],[Counter Number]]="","",Table1[[#This Row],[Vehicle Identification Number(s):]])</f>
        <v/>
      </c>
      <c r="P89" s="60" t="str">
        <f>IF(Table2[[#This Row],[Counter Number]]="","",Table1[[#This Row],[Old Bus Manufacturer:]])</f>
        <v/>
      </c>
      <c r="Q89" s="60" t="str">
        <f>IF(Table2[[#This Row],[Counter Number]]="","",Table1[[#This Row],[Vehicle Model:]])</f>
        <v/>
      </c>
      <c r="R89" s="165" t="str">
        <f>IF(Table2[[#This Row],[Counter Number]]="","",Table1[[#This Row],[Vehicle Model Year:]])</f>
        <v/>
      </c>
      <c r="S89" s="60" t="str">
        <f>IF(Table2[[#This Row],[Counter Number]]="","",Table1[[#This Row],[Engine Serial Number(s):]])</f>
        <v/>
      </c>
      <c r="T89" s="60" t="str">
        <f>IF(Table2[[#This Row],[Counter Number]]="","",Table1[[#This Row],[Engine Make:]])</f>
        <v/>
      </c>
      <c r="U89" s="60" t="str">
        <f>IF(Table2[[#This Row],[Counter Number]]="","",Table1[[#This Row],[Engine Model:]])</f>
        <v/>
      </c>
      <c r="V89" s="165" t="str">
        <f>IF(Table2[[#This Row],[Counter Number]]="","",Table1[[#This Row],[Engine Model Year:]])</f>
        <v/>
      </c>
      <c r="W89" s="60" t="str">
        <f>IF(Table2[[#This Row],[Counter Number]]="","","NA")</f>
        <v/>
      </c>
      <c r="X89" s="165" t="str">
        <f>IF(Table2[[#This Row],[Counter Number]]="","",Table1[[#This Row],[Engine Horsepower (HP):]])</f>
        <v/>
      </c>
      <c r="Y89" s="165" t="str">
        <f>IF(Table2[[#This Row],[Counter Number]]="","",Table1[[#This Row],[Engine Cylinder Displacement (L):]]&amp;" L")</f>
        <v/>
      </c>
      <c r="Z89" s="165" t="str">
        <f>IF(Table2[[#This Row],[Counter Number]]="","",Table1[[#This Row],[Engine Number of Cylinders:]])</f>
        <v/>
      </c>
      <c r="AA89" s="166" t="str">
        <f>IF(Table2[[#This Row],[Counter Number]]="","",Table1[[#This Row],[Engine Family Name:]])</f>
        <v/>
      </c>
      <c r="AB89" s="60" t="str">
        <f>IF(Table2[[#This Row],[Counter Number]]="","","ULSD")</f>
        <v/>
      </c>
      <c r="AC89" s="167" t="str">
        <f>IF(Table2[[#This Row],[Counter Number]]="","",Table2[[#This Row],[Annual Miles Traveled:]]/Table1[[#This Row],[Old Fuel (mpg)]])</f>
        <v/>
      </c>
      <c r="AD89" s="60" t="str">
        <f>IF(Table2[[#This Row],[Counter Number]]="","","NA")</f>
        <v/>
      </c>
      <c r="AE89" s="168" t="str">
        <f>IF(Table2[[#This Row],[Counter Number]]="","",Table1[[#This Row],[Annual Miles Traveled]])</f>
        <v/>
      </c>
      <c r="AF89" s="169" t="str">
        <f>IF(Table2[[#This Row],[Counter Number]]="","",Table1[[#This Row],[Annual Idling Hours:]])</f>
        <v/>
      </c>
      <c r="AG89" s="60" t="str">
        <f>IF(Table2[[#This Row],[Counter Number]]="","","NA")</f>
        <v/>
      </c>
      <c r="AH89" s="165" t="str">
        <f>IF(Table2[[#This Row],[Counter Number]]="","",IF(Application!$J$25="Set Policy",Table1[[#This Row],[Remaining Life (years)         Set Policy]],Table1[[#This Row],[Remaining Life (years)               Case-by-Case]]))</f>
        <v/>
      </c>
      <c r="AI89" s="165" t="str">
        <f>IF(Table2[[#This Row],[Counter Number]]="","",IF(Application!$J$25="Case-by-Case","NA",Table2[[#This Row],[Fiscal Year of EPA Funds Used:]]+Table2[[#This Row],[Remaining Life:]]))</f>
        <v/>
      </c>
      <c r="AJ89" s="165"/>
      <c r="AK89" s="170" t="str">
        <f>IF(Table2[[#This Row],[Counter Number]]="","",Application!$D$14+1)</f>
        <v/>
      </c>
      <c r="AL89" s="60" t="str">
        <f>IF(Table2[[#This Row],[Counter Number]]="","","Vehicle Replacement")</f>
        <v/>
      </c>
      <c r="AM8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9" s="171" t="str">
        <f>IF(Table2[[#This Row],[Counter Number]]="","",Table1[[#This Row],[Cost of New Bus:]])</f>
        <v/>
      </c>
      <c r="AO89" s="60" t="str">
        <f>IF(Table2[[#This Row],[Counter Number]]="","","NA")</f>
        <v/>
      </c>
      <c r="AP89" s="165" t="str">
        <f>IF(Table2[[#This Row],[Counter Number]]="","",Table1[[#This Row],[New Engine Model Year:]])</f>
        <v/>
      </c>
      <c r="AQ89" s="60" t="str">
        <f>IF(Table2[[#This Row],[Counter Number]]="","","NA")</f>
        <v/>
      </c>
      <c r="AR89" s="165" t="str">
        <f>IF(Table2[[#This Row],[Counter Number]]="","",Table1[[#This Row],[New Engine Horsepower (HP):]])</f>
        <v/>
      </c>
      <c r="AS89" s="60" t="str">
        <f>IF(Table2[[#This Row],[Counter Number]]="","","NA")</f>
        <v/>
      </c>
      <c r="AT89" s="165" t="str">
        <f>IF(Table2[[#This Row],[Counter Number]]="","",Table1[[#This Row],[New Engine Cylinder Displacement (L):]]&amp;" L")</f>
        <v/>
      </c>
      <c r="AU89" s="114" t="str">
        <f>IF(Table2[[#This Row],[Counter Number]]="","",Table1[[#This Row],[New Engine Number of Cylinders:]])</f>
        <v/>
      </c>
      <c r="AV89" s="60" t="str">
        <f>IF(Table2[[#This Row],[Counter Number]]="","",Table1[[#This Row],[New Engine Family Name:]])</f>
        <v/>
      </c>
      <c r="AW8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9" s="60" t="str">
        <f>IF(Table2[[#This Row],[Counter Number]]="","","NA")</f>
        <v/>
      </c>
      <c r="AY89" s="172" t="str">
        <f>IF(Table2[[#This Row],[Counter Number]]="","",IF(Table2[[#This Row],[New Engine Fuel Type:]]="ULSD",Table1[[#This Row],[Annual Miles Traveled]]/Table1[[#This Row],[New Fuel (mpg) if Diesel]],""))</f>
        <v/>
      </c>
      <c r="AZ89" s="60"/>
      <c r="BA89" s="173" t="str">
        <f>IF(Table2[[#This Row],[Counter Number]]="","",Table2[[#This Row],[Annual Miles Traveled:]]*VLOOKUP(Table2[[#This Row],[Engine Model Year:]],EFTable[],3,FALSE))</f>
        <v/>
      </c>
      <c r="BB89" s="173" t="str">
        <f>IF(Table2[[#This Row],[Counter Number]]="","",Table2[[#This Row],[Annual Miles Traveled:]]*IF(Table2[[#This Row],[New Engine Fuel Type:]]="ULSD",VLOOKUP(Table2[[#This Row],[New Engine Model Year:]],EFTable[],3,FALSE),VLOOKUP(Table2[[#This Row],[New Engine Fuel Type:]],EFTable[],3,FALSE)))</f>
        <v/>
      </c>
      <c r="BC89" s="187" t="str">
        <f>IF(Table2[[#This Row],[Counter Number]]="","",Table2[[#This Row],[Old Bus NOx Emissions (tons/yr)]]-Table2[[#This Row],[New Bus NOx Emissions (tons/yr)]])</f>
        <v/>
      </c>
      <c r="BD89" s="188" t="str">
        <f>IF(Table2[[#This Row],[Counter Number]]="","",Table2[[#This Row],[Reduction Bus NOx Emissions (tons/yr)]]/Table2[[#This Row],[Old Bus NOx Emissions (tons/yr)]])</f>
        <v/>
      </c>
      <c r="BE89" s="175" t="str">
        <f>IF(Table2[[#This Row],[Counter Number]]="","",Table2[[#This Row],[Reduction Bus NOx Emissions (tons/yr)]]*Table2[[#This Row],[Remaining Life:]])</f>
        <v/>
      </c>
      <c r="BF89" s="189" t="str">
        <f>IF(Table2[[#This Row],[Counter Number]]="","",IF(Table2[[#This Row],[Lifetime NOx Reduction (tons)]]=0,"NA",Table2[[#This Row],[Upgrade Cost Per Unit]]/Table2[[#This Row],[Lifetime NOx Reduction (tons)]]))</f>
        <v/>
      </c>
      <c r="BG89" s="190" t="str">
        <f>IF(Table2[[#This Row],[Counter Number]]="","",Table2[[#This Row],[Annual Miles Traveled:]]*VLOOKUP(Table2[[#This Row],[Engine Model Year:]],EF!$A$2:$G$27,4,FALSE))</f>
        <v/>
      </c>
      <c r="BH89" s="173" t="str">
        <f>IF(Table2[[#This Row],[Counter Number]]="","",Table2[[#This Row],[Annual Miles Traveled:]]*IF(Table2[[#This Row],[New Engine Fuel Type:]]="ULSD",VLOOKUP(Table2[[#This Row],[New Engine Model Year:]],EFTable[],4,FALSE),VLOOKUP(Table2[[#This Row],[New Engine Fuel Type:]],EFTable[],4,FALSE)))</f>
        <v/>
      </c>
      <c r="BI89" s="191" t="str">
        <f>IF(Table2[[#This Row],[Counter Number]]="","",Table2[[#This Row],[Old Bus PM2.5 Emissions (tons/yr)]]-Table2[[#This Row],[New Bus PM2.5 Emissions (tons/yr)]])</f>
        <v/>
      </c>
      <c r="BJ89" s="192" t="str">
        <f>IF(Table2[[#This Row],[Counter Number]]="","",Table2[[#This Row],[Reduction Bus PM2.5 Emissions (tons/yr)]]/Table2[[#This Row],[Old Bus PM2.5 Emissions (tons/yr)]])</f>
        <v/>
      </c>
      <c r="BK89" s="193" t="str">
        <f>IF(Table2[[#This Row],[Counter Number]]="","",Table2[[#This Row],[Reduction Bus PM2.5 Emissions (tons/yr)]]*Table2[[#This Row],[Remaining Life:]])</f>
        <v/>
      </c>
      <c r="BL89" s="194" t="str">
        <f>IF(Table2[[#This Row],[Counter Number]]="","",IF(Table2[[#This Row],[Lifetime PM2.5 Reduction (tons)]]=0,"NA",Table2[[#This Row],[Upgrade Cost Per Unit]]/Table2[[#This Row],[Lifetime PM2.5 Reduction (tons)]]))</f>
        <v/>
      </c>
      <c r="BM89" s="179" t="str">
        <f>IF(Table2[[#This Row],[Counter Number]]="","",Table2[[#This Row],[Annual Miles Traveled:]]*VLOOKUP(Table2[[#This Row],[Engine Model Year:]],EF!$A$2:$G$40,5,FALSE))</f>
        <v/>
      </c>
      <c r="BN89" s="173" t="str">
        <f>IF(Table2[[#This Row],[Counter Number]]="","",Table2[[#This Row],[Annual Miles Traveled:]]*IF(Table2[[#This Row],[New Engine Fuel Type:]]="ULSD",VLOOKUP(Table2[[#This Row],[New Engine Model Year:]],EFTable[],5,FALSE),VLOOKUP(Table2[[#This Row],[New Engine Fuel Type:]],EFTable[],5,FALSE)))</f>
        <v/>
      </c>
      <c r="BO89" s="190" t="str">
        <f>IF(Table2[[#This Row],[Counter Number]]="","",Table2[[#This Row],[Old Bus HC Emissions (tons/yr)]]-Table2[[#This Row],[New Bus HC Emissions (tons/yr)]])</f>
        <v/>
      </c>
      <c r="BP89" s="188" t="str">
        <f>IF(Table2[[#This Row],[Counter Number]]="","",Table2[[#This Row],[Reduction Bus HC Emissions (tons/yr)]]/Table2[[#This Row],[Old Bus HC Emissions (tons/yr)]])</f>
        <v/>
      </c>
      <c r="BQ89" s="193" t="str">
        <f>IF(Table2[[#This Row],[Counter Number]]="","",Table2[[#This Row],[Reduction Bus HC Emissions (tons/yr)]]*Table2[[#This Row],[Remaining Life:]])</f>
        <v/>
      </c>
      <c r="BR89" s="194" t="str">
        <f>IF(Table2[[#This Row],[Counter Number]]="","",IF(Table2[[#This Row],[Lifetime HC Reduction (tons)]]=0,"NA",Table2[[#This Row],[Upgrade Cost Per Unit]]/Table2[[#This Row],[Lifetime HC Reduction (tons)]]))</f>
        <v/>
      </c>
      <c r="BS89" s="191" t="str">
        <f>IF(Table2[[#This Row],[Counter Number]]="","",Table2[[#This Row],[Annual Miles Traveled:]]*VLOOKUP(Table2[[#This Row],[Engine Model Year:]],EF!$A$2:$G$27,6,FALSE))</f>
        <v/>
      </c>
      <c r="BT89" s="173" t="str">
        <f>IF(Table2[[#This Row],[Counter Number]]="","",Table2[[#This Row],[Annual Miles Traveled:]]*IF(Table2[[#This Row],[New Engine Fuel Type:]]="ULSD",VLOOKUP(Table2[[#This Row],[New Engine Model Year:]],EFTable[],6,FALSE),VLOOKUP(Table2[[#This Row],[New Engine Fuel Type:]],EFTable[],6,FALSE)))</f>
        <v/>
      </c>
      <c r="BU89" s="190" t="str">
        <f>IF(Table2[[#This Row],[Counter Number]]="","",Table2[[#This Row],[Old Bus CO Emissions (tons/yr)]]-Table2[[#This Row],[New Bus CO Emissions (tons/yr)]])</f>
        <v/>
      </c>
      <c r="BV89" s="188" t="str">
        <f>IF(Table2[[#This Row],[Counter Number]]="","",Table2[[#This Row],[Reduction Bus CO Emissions (tons/yr)]]/Table2[[#This Row],[Old Bus CO Emissions (tons/yr)]])</f>
        <v/>
      </c>
      <c r="BW89" s="193" t="str">
        <f>IF(Table2[[#This Row],[Counter Number]]="","",Table2[[#This Row],[Reduction Bus CO Emissions (tons/yr)]]*Table2[[#This Row],[Remaining Life:]])</f>
        <v/>
      </c>
      <c r="BX89" s="194" t="str">
        <f>IF(Table2[[#This Row],[Counter Number]]="","",IF(Table2[[#This Row],[Lifetime CO Reduction (tons)]]=0,"NA",Table2[[#This Row],[Upgrade Cost Per Unit]]/Table2[[#This Row],[Lifetime CO Reduction (tons)]]))</f>
        <v/>
      </c>
      <c r="BY89" s="180" t="str">
        <f>IF(Table2[[#This Row],[Counter Number]]="","",Table2[[#This Row],[Old ULSD Used (gal):]]*VLOOKUP(Table2[[#This Row],[Engine Model Year:]],EF!$A$2:$G$27,7,FALSE))</f>
        <v/>
      </c>
      <c r="BZ8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9" s="195" t="str">
        <f>IF(Table2[[#This Row],[Counter Number]]="","",Table2[[#This Row],[Old Bus CO2 Emissions (tons/yr)]]-Table2[[#This Row],[New Bus CO2 Emissions (tons/yr)]])</f>
        <v/>
      </c>
      <c r="CB89" s="188" t="str">
        <f>IF(Table2[[#This Row],[Counter Number]]="","",Table2[[#This Row],[Reduction Bus CO2 Emissions (tons/yr)]]/Table2[[#This Row],[Old Bus CO2 Emissions (tons/yr)]])</f>
        <v/>
      </c>
      <c r="CC89" s="195" t="str">
        <f>IF(Table2[[#This Row],[Counter Number]]="","",Table2[[#This Row],[Reduction Bus CO2 Emissions (tons/yr)]]*Table2[[#This Row],[Remaining Life:]])</f>
        <v/>
      </c>
      <c r="CD89" s="194" t="str">
        <f>IF(Table2[[#This Row],[Counter Number]]="","",IF(Table2[[#This Row],[Lifetime CO2 Reduction (tons)]]=0,"NA",Table2[[#This Row],[Upgrade Cost Per Unit]]/Table2[[#This Row],[Lifetime CO2 Reduction (tons)]]))</f>
        <v/>
      </c>
      <c r="CE89" s="182" t="str">
        <f>IF(Table2[[#This Row],[Counter Number]]="","",IF(Table2[[#This Row],[New ULSD Used (gal):]]="",Table2[[#This Row],[Old ULSD Used (gal):]],Table2[[#This Row],[Old ULSD Used (gal):]]-Table2[[#This Row],[New ULSD Used (gal):]]))</f>
        <v/>
      </c>
      <c r="CF89" s="196" t="str">
        <f>IF(Table2[[#This Row],[Counter Number]]="","",Table2[[#This Row],[Diesel Fuel Reduction (gal/yr)]]/Table2[[#This Row],[Old ULSD Used (gal):]])</f>
        <v/>
      </c>
      <c r="CG89" s="197" t="str">
        <f>IF(Table2[[#This Row],[Counter Number]]="","",Table2[[#This Row],[Diesel Fuel Reduction (gal/yr)]]*Table2[[#This Row],[Remaining Life:]])</f>
        <v/>
      </c>
    </row>
    <row r="90" spans="1:85">
      <c r="A90" s="184" t="str">
        <f>IF(A89&lt;Application!$D$24,A89+1,"")</f>
        <v/>
      </c>
      <c r="B90" s="60" t="str">
        <f>IF(Table2[[#This Row],[Counter Number]]="","",Application!$D$16)</f>
        <v/>
      </c>
      <c r="C90" s="60" t="str">
        <f>IF(Table2[[#This Row],[Counter Number]]="","",Application!$D$14)</f>
        <v/>
      </c>
      <c r="D90" s="60" t="str">
        <f>IF(Table2[[#This Row],[Counter Number]]="","",Table1[[#This Row],[Old Bus Number]])</f>
        <v/>
      </c>
      <c r="E90" s="60" t="str">
        <f>IF(Table2[[#This Row],[Counter Number]]="","",Application!$D$15)</f>
        <v/>
      </c>
      <c r="F90" s="60" t="str">
        <f>IF(Table2[[#This Row],[Counter Number]]="","","On Highway")</f>
        <v/>
      </c>
      <c r="G90" s="60" t="str">
        <f>IF(Table2[[#This Row],[Counter Number]]="","",I90)</f>
        <v/>
      </c>
      <c r="H90" s="60" t="str">
        <f>IF(Table2[[#This Row],[Counter Number]]="","","Georgia")</f>
        <v/>
      </c>
      <c r="I90" s="60" t="str">
        <f>IF(Table2[[#This Row],[Counter Number]]="","",Application!$D$16)</f>
        <v/>
      </c>
      <c r="J90" s="60" t="str">
        <f>IF(Table2[[#This Row],[Counter Number]]="","",Application!$D$21)</f>
        <v/>
      </c>
      <c r="K90" s="60" t="str">
        <f>IF(Table2[[#This Row],[Counter Number]]="","",Application!$J$21)</f>
        <v/>
      </c>
      <c r="L90" s="60" t="str">
        <f>IF(Table2[[#This Row],[Counter Number]]="","","School Bus")</f>
        <v/>
      </c>
      <c r="M90" s="60" t="str">
        <f>IF(Table2[[#This Row],[Counter Number]]="","","School Bus")</f>
        <v/>
      </c>
      <c r="N90" s="60" t="str">
        <f>IF(Table2[[#This Row],[Counter Number]]="","",1)</f>
        <v/>
      </c>
      <c r="O90" s="60" t="str">
        <f>IF(Table2[[#This Row],[Counter Number]]="","",Table1[[#This Row],[Vehicle Identification Number(s):]])</f>
        <v/>
      </c>
      <c r="P90" s="60" t="str">
        <f>IF(Table2[[#This Row],[Counter Number]]="","",Table1[[#This Row],[Old Bus Manufacturer:]])</f>
        <v/>
      </c>
      <c r="Q90" s="60" t="str">
        <f>IF(Table2[[#This Row],[Counter Number]]="","",Table1[[#This Row],[Vehicle Model:]])</f>
        <v/>
      </c>
      <c r="R90" s="165" t="str">
        <f>IF(Table2[[#This Row],[Counter Number]]="","",Table1[[#This Row],[Vehicle Model Year:]])</f>
        <v/>
      </c>
      <c r="S90" s="60" t="str">
        <f>IF(Table2[[#This Row],[Counter Number]]="","",Table1[[#This Row],[Engine Serial Number(s):]])</f>
        <v/>
      </c>
      <c r="T90" s="60" t="str">
        <f>IF(Table2[[#This Row],[Counter Number]]="","",Table1[[#This Row],[Engine Make:]])</f>
        <v/>
      </c>
      <c r="U90" s="60" t="str">
        <f>IF(Table2[[#This Row],[Counter Number]]="","",Table1[[#This Row],[Engine Model:]])</f>
        <v/>
      </c>
      <c r="V90" s="165" t="str">
        <f>IF(Table2[[#This Row],[Counter Number]]="","",Table1[[#This Row],[Engine Model Year:]])</f>
        <v/>
      </c>
      <c r="W90" s="60" t="str">
        <f>IF(Table2[[#This Row],[Counter Number]]="","","NA")</f>
        <v/>
      </c>
      <c r="X90" s="165" t="str">
        <f>IF(Table2[[#This Row],[Counter Number]]="","",Table1[[#This Row],[Engine Horsepower (HP):]])</f>
        <v/>
      </c>
      <c r="Y90" s="165" t="str">
        <f>IF(Table2[[#This Row],[Counter Number]]="","",Table1[[#This Row],[Engine Cylinder Displacement (L):]]&amp;" L")</f>
        <v/>
      </c>
      <c r="Z90" s="165" t="str">
        <f>IF(Table2[[#This Row],[Counter Number]]="","",Table1[[#This Row],[Engine Number of Cylinders:]])</f>
        <v/>
      </c>
      <c r="AA90" s="166" t="str">
        <f>IF(Table2[[#This Row],[Counter Number]]="","",Table1[[#This Row],[Engine Family Name:]])</f>
        <v/>
      </c>
      <c r="AB90" s="60" t="str">
        <f>IF(Table2[[#This Row],[Counter Number]]="","","ULSD")</f>
        <v/>
      </c>
      <c r="AC90" s="167" t="str">
        <f>IF(Table2[[#This Row],[Counter Number]]="","",Table2[[#This Row],[Annual Miles Traveled:]]/Table1[[#This Row],[Old Fuel (mpg)]])</f>
        <v/>
      </c>
      <c r="AD90" s="60" t="str">
        <f>IF(Table2[[#This Row],[Counter Number]]="","","NA")</f>
        <v/>
      </c>
      <c r="AE90" s="168" t="str">
        <f>IF(Table2[[#This Row],[Counter Number]]="","",Table1[[#This Row],[Annual Miles Traveled]])</f>
        <v/>
      </c>
      <c r="AF90" s="169" t="str">
        <f>IF(Table2[[#This Row],[Counter Number]]="","",Table1[[#This Row],[Annual Idling Hours:]])</f>
        <v/>
      </c>
      <c r="AG90" s="60" t="str">
        <f>IF(Table2[[#This Row],[Counter Number]]="","","NA")</f>
        <v/>
      </c>
      <c r="AH90" s="165" t="str">
        <f>IF(Table2[[#This Row],[Counter Number]]="","",IF(Application!$J$25="Set Policy",Table1[[#This Row],[Remaining Life (years)         Set Policy]],Table1[[#This Row],[Remaining Life (years)               Case-by-Case]]))</f>
        <v/>
      </c>
      <c r="AI90" s="165" t="str">
        <f>IF(Table2[[#This Row],[Counter Number]]="","",IF(Application!$J$25="Case-by-Case","NA",Table2[[#This Row],[Fiscal Year of EPA Funds Used:]]+Table2[[#This Row],[Remaining Life:]]))</f>
        <v/>
      </c>
      <c r="AJ90" s="165"/>
      <c r="AK90" s="170" t="str">
        <f>IF(Table2[[#This Row],[Counter Number]]="","",Application!$D$14+1)</f>
        <v/>
      </c>
      <c r="AL90" s="60" t="str">
        <f>IF(Table2[[#This Row],[Counter Number]]="","","Vehicle Replacement")</f>
        <v/>
      </c>
      <c r="AM9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0" s="171" t="str">
        <f>IF(Table2[[#This Row],[Counter Number]]="","",Table1[[#This Row],[Cost of New Bus:]])</f>
        <v/>
      </c>
      <c r="AO90" s="60" t="str">
        <f>IF(Table2[[#This Row],[Counter Number]]="","","NA")</f>
        <v/>
      </c>
      <c r="AP90" s="165" t="str">
        <f>IF(Table2[[#This Row],[Counter Number]]="","",Table1[[#This Row],[New Engine Model Year:]])</f>
        <v/>
      </c>
      <c r="AQ90" s="60" t="str">
        <f>IF(Table2[[#This Row],[Counter Number]]="","","NA")</f>
        <v/>
      </c>
      <c r="AR90" s="165" t="str">
        <f>IF(Table2[[#This Row],[Counter Number]]="","",Table1[[#This Row],[New Engine Horsepower (HP):]])</f>
        <v/>
      </c>
      <c r="AS90" s="60" t="str">
        <f>IF(Table2[[#This Row],[Counter Number]]="","","NA")</f>
        <v/>
      </c>
      <c r="AT90" s="165" t="str">
        <f>IF(Table2[[#This Row],[Counter Number]]="","",Table1[[#This Row],[New Engine Cylinder Displacement (L):]]&amp;" L")</f>
        <v/>
      </c>
      <c r="AU90" s="114" t="str">
        <f>IF(Table2[[#This Row],[Counter Number]]="","",Table1[[#This Row],[New Engine Number of Cylinders:]])</f>
        <v/>
      </c>
      <c r="AV90" s="60" t="str">
        <f>IF(Table2[[#This Row],[Counter Number]]="","",Table1[[#This Row],[New Engine Family Name:]])</f>
        <v/>
      </c>
      <c r="AW9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0" s="60" t="str">
        <f>IF(Table2[[#This Row],[Counter Number]]="","","NA")</f>
        <v/>
      </c>
      <c r="AY90" s="172" t="str">
        <f>IF(Table2[[#This Row],[Counter Number]]="","",IF(Table2[[#This Row],[New Engine Fuel Type:]]="ULSD",Table1[[#This Row],[Annual Miles Traveled]]/Table1[[#This Row],[New Fuel (mpg) if Diesel]],""))</f>
        <v/>
      </c>
      <c r="AZ90" s="60"/>
      <c r="BA90" s="173" t="str">
        <f>IF(Table2[[#This Row],[Counter Number]]="","",Table2[[#This Row],[Annual Miles Traveled:]]*VLOOKUP(Table2[[#This Row],[Engine Model Year:]],EFTable[],3,FALSE))</f>
        <v/>
      </c>
      <c r="BB90" s="173" t="str">
        <f>IF(Table2[[#This Row],[Counter Number]]="","",Table2[[#This Row],[Annual Miles Traveled:]]*IF(Table2[[#This Row],[New Engine Fuel Type:]]="ULSD",VLOOKUP(Table2[[#This Row],[New Engine Model Year:]],EFTable[],3,FALSE),VLOOKUP(Table2[[#This Row],[New Engine Fuel Type:]],EFTable[],3,FALSE)))</f>
        <v/>
      </c>
      <c r="BC90" s="187" t="str">
        <f>IF(Table2[[#This Row],[Counter Number]]="","",Table2[[#This Row],[Old Bus NOx Emissions (tons/yr)]]-Table2[[#This Row],[New Bus NOx Emissions (tons/yr)]])</f>
        <v/>
      </c>
      <c r="BD90" s="188" t="str">
        <f>IF(Table2[[#This Row],[Counter Number]]="","",Table2[[#This Row],[Reduction Bus NOx Emissions (tons/yr)]]/Table2[[#This Row],[Old Bus NOx Emissions (tons/yr)]])</f>
        <v/>
      </c>
      <c r="BE90" s="175" t="str">
        <f>IF(Table2[[#This Row],[Counter Number]]="","",Table2[[#This Row],[Reduction Bus NOx Emissions (tons/yr)]]*Table2[[#This Row],[Remaining Life:]])</f>
        <v/>
      </c>
      <c r="BF90" s="189" t="str">
        <f>IF(Table2[[#This Row],[Counter Number]]="","",IF(Table2[[#This Row],[Lifetime NOx Reduction (tons)]]=0,"NA",Table2[[#This Row],[Upgrade Cost Per Unit]]/Table2[[#This Row],[Lifetime NOx Reduction (tons)]]))</f>
        <v/>
      </c>
      <c r="BG90" s="190" t="str">
        <f>IF(Table2[[#This Row],[Counter Number]]="","",Table2[[#This Row],[Annual Miles Traveled:]]*VLOOKUP(Table2[[#This Row],[Engine Model Year:]],EF!$A$2:$G$27,4,FALSE))</f>
        <v/>
      </c>
      <c r="BH90" s="173" t="str">
        <f>IF(Table2[[#This Row],[Counter Number]]="","",Table2[[#This Row],[Annual Miles Traveled:]]*IF(Table2[[#This Row],[New Engine Fuel Type:]]="ULSD",VLOOKUP(Table2[[#This Row],[New Engine Model Year:]],EFTable[],4,FALSE),VLOOKUP(Table2[[#This Row],[New Engine Fuel Type:]],EFTable[],4,FALSE)))</f>
        <v/>
      </c>
      <c r="BI90" s="191" t="str">
        <f>IF(Table2[[#This Row],[Counter Number]]="","",Table2[[#This Row],[Old Bus PM2.5 Emissions (tons/yr)]]-Table2[[#This Row],[New Bus PM2.5 Emissions (tons/yr)]])</f>
        <v/>
      </c>
      <c r="BJ90" s="192" t="str">
        <f>IF(Table2[[#This Row],[Counter Number]]="","",Table2[[#This Row],[Reduction Bus PM2.5 Emissions (tons/yr)]]/Table2[[#This Row],[Old Bus PM2.5 Emissions (tons/yr)]])</f>
        <v/>
      </c>
      <c r="BK90" s="193" t="str">
        <f>IF(Table2[[#This Row],[Counter Number]]="","",Table2[[#This Row],[Reduction Bus PM2.5 Emissions (tons/yr)]]*Table2[[#This Row],[Remaining Life:]])</f>
        <v/>
      </c>
      <c r="BL90" s="194" t="str">
        <f>IF(Table2[[#This Row],[Counter Number]]="","",IF(Table2[[#This Row],[Lifetime PM2.5 Reduction (tons)]]=0,"NA",Table2[[#This Row],[Upgrade Cost Per Unit]]/Table2[[#This Row],[Lifetime PM2.5 Reduction (tons)]]))</f>
        <v/>
      </c>
      <c r="BM90" s="179" t="str">
        <f>IF(Table2[[#This Row],[Counter Number]]="","",Table2[[#This Row],[Annual Miles Traveled:]]*VLOOKUP(Table2[[#This Row],[Engine Model Year:]],EF!$A$2:$G$40,5,FALSE))</f>
        <v/>
      </c>
      <c r="BN90" s="173" t="str">
        <f>IF(Table2[[#This Row],[Counter Number]]="","",Table2[[#This Row],[Annual Miles Traveled:]]*IF(Table2[[#This Row],[New Engine Fuel Type:]]="ULSD",VLOOKUP(Table2[[#This Row],[New Engine Model Year:]],EFTable[],5,FALSE),VLOOKUP(Table2[[#This Row],[New Engine Fuel Type:]],EFTable[],5,FALSE)))</f>
        <v/>
      </c>
      <c r="BO90" s="190" t="str">
        <f>IF(Table2[[#This Row],[Counter Number]]="","",Table2[[#This Row],[Old Bus HC Emissions (tons/yr)]]-Table2[[#This Row],[New Bus HC Emissions (tons/yr)]])</f>
        <v/>
      </c>
      <c r="BP90" s="188" t="str">
        <f>IF(Table2[[#This Row],[Counter Number]]="","",Table2[[#This Row],[Reduction Bus HC Emissions (tons/yr)]]/Table2[[#This Row],[Old Bus HC Emissions (tons/yr)]])</f>
        <v/>
      </c>
      <c r="BQ90" s="193" t="str">
        <f>IF(Table2[[#This Row],[Counter Number]]="","",Table2[[#This Row],[Reduction Bus HC Emissions (tons/yr)]]*Table2[[#This Row],[Remaining Life:]])</f>
        <v/>
      </c>
      <c r="BR90" s="194" t="str">
        <f>IF(Table2[[#This Row],[Counter Number]]="","",IF(Table2[[#This Row],[Lifetime HC Reduction (tons)]]=0,"NA",Table2[[#This Row],[Upgrade Cost Per Unit]]/Table2[[#This Row],[Lifetime HC Reduction (tons)]]))</f>
        <v/>
      </c>
      <c r="BS90" s="191" t="str">
        <f>IF(Table2[[#This Row],[Counter Number]]="","",Table2[[#This Row],[Annual Miles Traveled:]]*VLOOKUP(Table2[[#This Row],[Engine Model Year:]],EF!$A$2:$G$27,6,FALSE))</f>
        <v/>
      </c>
      <c r="BT90" s="173" t="str">
        <f>IF(Table2[[#This Row],[Counter Number]]="","",Table2[[#This Row],[Annual Miles Traveled:]]*IF(Table2[[#This Row],[New Engine Fuel Type:]]="ULSD",VLOOKUP(Table2[[#This Row],[New Engine Model Year:]],EFTable[],6,FALSE),VLOOKUP(Table2[[#This Row],[New Engine Fuel Type:]],EFTable[],6,FALSE)))</f>
        <v/>
      </c>
      <c r="BU90" s="190" t="str">
        <f>IF(Table2[[#This Row],[Counter Number]]="","",Table2[[#This Row],[Old Bus CO Emissions (tons/yr)]]-Table2[[#This Row],[New Bus CO Emissions (tons/yr)]])</f>
        <v/>
      </c>
      <c r="BV90" s="188" t="str">
        <f>IF(Table2[[#This Row],[Counter Number]]="","",Table2[[#This Row],[Reduction Bus CO Emissions (tons/yr)]]/Table2[[#This Row],[Old Bus CO Emissions (tons/yr)]])</f>
        <v/>
      </c>
      <c r="BW90" s="193" t="str">
        <f>IF(Table2[[#This Row],[Counter Number]]="","",Table2[[#This Row],[Reduction Bus CO Emissions (tons/yr)]]*Table2[[#This Row],[Remaining Life:]])</f>
        <v/>
      </c>
      <c r="BX90" s="194" t="str">
        <f>IF(Table2[[#This Row],[Counter Number]]="","",IF(Table2[[#This Row],[Lifetime CO Reduction (tons)]]=0,"NA",Table2[[#This Row],[Upgrade Cost Per Unit]]/Table2[[#This Row],[Lifetime CO Reduction (tons)]]))</f>
        <v/>
      </c>
      <c r="BY90" s="180" t="str">
        <f>IF(Table2[[#This Row],[Counter Number]]="","",Table2[[#This Row],[Old ULSD Used (gal):]]*VLOOKUP(Table2[[#This Row],[Engine Model Year:]],EF!$A$2:$G$27,7,FALSE))</f>
        <v/>
      </c>
      <c r="BZ9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0" s="195" t="str">
        <f>IF(Table2[[#This Row],[Counter Number]]="","",Table2[[#This Row],[Old Bus CO2 Emissions (tons/yr)]]-Table2[[#This Row],[New Bus CO2 Emissions (tons/yr)]])</f>
        <v/>
      </c>
      <c r="CB90" s="188" t="str">
        <f>IF(Table2[[#This Row],[Counter Number]]="","",Table2[[#This Row],[Reduction Bus CO2 Emissions (tons/yr)]]/Table2[[#This Row],[Old Bus CO2 Emissions (tons/yr)]])</f>
        <v/>
      </c>
      <c r="CC90" s="195" t="str">
        <f>IF(Table2[[#This Row],[Counter Number]]="","",Table2[[#This Row],[Reduction Bus CO2 Emissions (tons/yr)]]*Table2[[#This Row],[Remaining Life:]])</f>
        <v/>
      </c>
      <c r="CD90" s="194" t="str">
        <f>IF(Table2[[#This Row],[Counter Number]]="","",IF(Table2[[#This Row],[Lifetime CO2 Reduction (tons)]]=0,"NA",Table2[[#This Row],[Upgrade Cost Per Unit]]/Table2[[#This Row],[Lifetime CO2 Reduction (tons)]]))</f>
        <v/>
      </c>
      <c r="CE90" s="182" t="str">
        <f>IF(Table2[[#This Row],[Counter Number]]="","",IF(Table2[[#This Row],[New ULSD Used (gal):]]="",Table2[[#This Row],[Old ULSD Used (gal):]],Table2[[#This Row],[Old ULSD Used (gal):]]-Table2[[#This Row],[New ULSD Used (gal):]]))</f>
        <v/>
      </c>
      <c r="CF90" s="196" t="str">
        <f>IF(Table2[[#This Row],[Counter Number]]="","",Table2[[#This Row],[Diesel Fuel Reduction (gal/yr)]]/Table2[[#This Row],[Old ULSD Used (gal):]])</f>
        <v/>
      </c>
      <c r="CG90" s="197" t="str">
        <f>IF(Table2[[#This Row],[Counter Number]]="","",Table2[[#This Row],[Diesel Fuel Reduction (gal/yr)]]*Table2[[#This Row],[Remaining Life:]])</f>
        <v/>
      </c>
    </row>
    <row r="91" spans="1:85">
      <c r="A91" s="184" t="str">
        <f>IF(A90&lt;Application!$D$24,A90+1,"")</f>
        <v/>
      </c>
      <c r="B91" s="60" t="str">
        <f>IF(Table2[[#This Row],[Counter Number]]="","",Application!$D$16)</f>
        <v/>
      </c>
      <c r="C91" s="60" t="str">
        <f>IF(Table2[[#This Row],[Counter Number]]="","",Application!$D$14)</f>
        <v/>
      </c>
      <c r="D91" s="60" t="str">
        <f>IF(Table2[[#This Row],[Counter Number]]="","",Table1[[#This Row],[Old Bus Number]])</f>
        <v/>
      </c>
      <c r="E91" s="60" t="str">
        <f>IF(Table2[[#This Row],[Counter Number]]="","",Application!$D$15)</f>
        <v/>
      </c>
      <c r="F91" s="60" t="str">
        <f>IF(Table2[[#This Row],[Counter Number]]="","","On Highway")</f>
        <v/>
      </c>
      <c r="G91" s="60" t="str">
        <f>IF(Table2[[#This Row],[Counter Number]]="","",I91)</f>
        <v/>
      </c>
      <c r="H91" s="60" t="str">
        <f>IF(Table2[[#This Row],[Counter Number]]="","","Georgia")</f>
        <v/>
      </c>
      <c r="I91" s="60" t="str">
        <f>IF(Table2[[#This Row],[Counter Number]]="","",Application!$D$16)</f>
        <v/>
      </c>
      <c r="J91" s="60" t="str">
        <f>IF(Table2[[#This Row],[Counter Number]]="","",Application!$D$21)</f>
        <v/>
      </c>
      <c r="K91" s="60" t="str">
        <f>IF(Table2[[#This Row],[Counter Number]]="","",Application!$J$21)</f>
        <v/>
      </c>
      <c r="L91" s="60" t="str">
        <f>IF(Table2[[#This Row],[Counter Number]]="","","School Bus")</f>
        <v/>
      </c>
      <c r="M91" s="60" t="str">
        <f>IF(Table2[[#This Row],[Counter Number]]="","","School Bus")</f>
        <v/>
      </c>
      <c r="N91" s="60" t="str">
        <f>IF(Table2[[#This Row],[Counter Number]]="","",1)</f>
        <v/>
      </c>
      <c r="O91" s="60" t="str">
        <f>IF(Table2[[#This Row],[Counter Number]]="","",Table1[[#This Row],[Vehicle Identification Number(s):]])</f>
        <v/>
      </c>
      <c r="P91" s="60" t="str">
        <f>IF(Table2[[#This Row],[Counter Number]]="","",Table1[[#This Row],[Old Bus Manufacturer:]])</f>
        <v/>
      </c>
      <c r="Q91" s="60" t="str">
        <f>IF(Table2[[#This Row],[Counter Number]]="","",Table1[[#This Row],[Vehicle Model:]])</f>
        <v/>
      </c>
      <c r="R91" s="165" t="str">
        <f>IF(Table2[[#This Row],[Counter Number]]="","",Table1[[#This Row],[Vehicle Model Year:]])</f>
        <v/>
      </c>
      <c r="S91" s="60" t="str">
        <f>IF(Table2[[#This Row],[Counter Number]]="","",Table1[[#This Row],[Engine Serial Number(s):]])</f>
        <v/>
      </c>
      <c r="T91" s="60" t="str">
        <f>IF(Table2[[#This Row],[Counter Number]]="","",Table1[[#This Row],[Engine Make:]])</f>
        <v/>
      </c>
      <c r="U91" s="60" t="str">
        <f>IF(Table2[[#This Row],[Counter Number]]="","",Table1[[#This Row],[Engine Model:]])</f>
        <v/>
      </c>
      <c r="V91" s="165" t="str">
        <f>IF(Table2[[#This Row],[Counter Number]]="","",Table1[[#This Row],[Engine Model Year:]])</f>
        <v/>
      </c>
      <c r="W91" s="60" t="str">
        <f>IF(Table2[[#This Row],[Counter Number]]="","","NA")</f>
        <v/>
      </c>
      <c r="X91" s="165" t="str">
        <f>IF(Table2[[#This Row],[Counter Number]]="","",Table1[[#This Row],[Engine Horsepower (HP):]])</f>
        <v/>
      </c>
      <c r="Y91" s="165" t="str">
        <f>IF(Table2[[#This Row],[Counter Number]]="","",Table1[[#This Row],[Engine Cylinder Displacement (L):]]&amp;" L")</f>
        <v/>
      </c>
      <c r="Z91" s="165" t="str">
        <f>IF(Table2[[#This Row],[Counter Number]]="","",Table1[[#This Row],[Engine Number of Cylinders:]])</f>
        <v/>
      </c>
      <c r="AA91" s="166" t="str">
        <f>IF(Table2[[#This Row],[Counter Number]]="","",Table1[[#This Row],[Engine Family Name:]])</f>
        <v/>
      </c>
      <c r="AB91" s="60" t="str">
        <f>IF(Table2[[#This Row],[Counter Number]]="","","ULSD")</f>
        <v/>
      </c>
      <c r="AC91" s="167" t="str">
        <f>IF(Table2[[#This Row],[Counter Number]]="","",Table2[[#This Row],[Annual Miles Traveled:]]/Table1[[#This Row],[Old Fuel (mpg)]])</f>
        <v/>
      </c>
      <c r="AD91" s="60" t="str">
        <f>IF(Table2[[#This Row],[Counter Number]]="","","NA")</f>
        <v/>
      </c>
      <c r="AE91" s="168" t="str">
        <f>IF(Table2[[#This Row],[Counter Number]]="","",Table1[[#This Row],[Annual Miles Traveled]])</f>
        <v/>
      </c>
      <c r="AF91" s="169" t="str">
        <f>IF(Table2[[#This Row],[Counter Number]]="","",Table1[[#This Row],[Annual Idling Hours:]])</f>
        <v/>
      </c>
      <c r="AG91" s="60" t="str">
        <f>IF(Table2[[#This Row],[Counter Number]]="","","NA")</f>
        <v/>
      </c>
      <c r="AH91" s="165" t="str">
        <f>IF(Table2[[#This Row],[Counter Number]]="","",IF(Application!$J$25="Set Policy",Table1[[#This Row],[Remaining Life (years)         Set Policy]],Table1[[#This Row],[Remaining Life (years)               Case-by-Case]]))</f>
        <v/>
      </c>
      <c r="AI91" s="165" t="str">
        <f>IF(Table2[[#This Row],[Counter Number]]="","",IF(Application!$J$25="Case-by-Case","NA",Table2[[#This Row],[Fiscal Year of EPA Funds Used:]]+Table2[[#This Row],[Remaining Life:]]))</f>
        <v/>
      </c>
      <c r="AJ91" s="165"/>
      <c r="AK91" s="170" t="str">
        <f>IF(Table2[[#This Row],[Counter Number]]="","",Application!$D$14+1)</f>
        <v/>
      </c>
      <c r="AL91" s="60" t="str">
        <f>IF(Table2[[#This Row],[Counter Number]]="","","Vehicle Replacement")</f>
        <v/>
      </c>
      <c r="AM9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1" s="171" t="str">
        <f>IF(Table2[[#This Row],[Counter Number]]="","",Table1[[#This Row],[Cost of New Bus:]])</f>
        <v/>
      </c>
      <c r="AO91" s="60" t="str">
        <f>IF(Table2[[#This Row],[Counter Number]]="","","NA")</f>
        <v/>
      </c>
      <c r="AP91" s="165" t="str">
        <f>IF(Table2[[#This Row],[Counter Number]]="","",Table1[[#This Row],[New Engine Model Year:]])</f>
        <v/>
      </c>
      <c r="AQ91" s="60" t="str">
        <f>IF(Table2[[#This Row],[Counter Number]]="","","NA")</f>
        <v/>
      </c>
      <c r="AR91" s="165" t="str">
        <f>IF(Table2[[#This Row],[Counter Number]]="","",Table1[[#This Row],[New Engine Horsepower (HP):]])</f>
        <v/>
      </c>
      <c r="AS91" s="60" t="str">
        <f>IF(Table2[[#This Row],[Counter Number]]="","","NA")</f>
        <v/>
      </c>
      <c r="AT91" s="165" t="str">
        <f>IF(Table2[[#This Row],[Counter Number]]="","",Table1[[#This Row],[New Engine Cylinder Displacement (L):]]&amp;" L")</f>
        <v/>
      </c>
      <c r="AU91" s="114" t="str">
        <f>IF(Table2[[#This Row],[Counter Number]]="","",Table1[[#This Row],[New Engine Number of Cylinders:]])</f>
        <v/>
      </c>
      <c r="AV91" s="60" t="str">
        <f>IF(Table2[[#This Row],[Counter Number]]="","",Table1[[#This Row],[New Engine Family Name:]])</f>
        <v/>
      </c>
      <c r="AW9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1" s="60" t="str">
        <f>IF(Table2[[#This Row],[Counter Number]]="","","NA")</f>
        <v/>
      </c>
      <c r="AY91" s="172" t="str">
        <f>IF(Table2[[#This Row],[Counter Number]]="","",IF(Table2[[#This Row],[New Engine Fuel Type:]]="ULSD",Table1[[#This Row],[Annual Miles Traveled]]/Table1[[#This Row],[New Fuel (mpg) if Diesel]],""))</f>
        <v/>
      </c>
      <c r="AZ91" s="60"/>
      <c r="BA91" s="173" t="str">
        <f>IF(Table2[[#This Row],[Counter Number]]="","",Table2[[#This Row],[Annual Miles Traveled:]]*VLOOKUP(Table2[[#This Row],[Engine Model Year:]],EFTable[],3,FALSE))</f>
        <v/>
      </c>
      <c r="BB91" s="173" t="str">
        <f>IF(Table2[[#This Row],[Counter Number]]="","",Table2[[#This Row],[Annual Miles Traveled:]]*IF(Table2[[#This Row],[New Engine Fuel Type:]]="ULSD",VLOOKUP(Table2[[#This Row],[New Engine Model Year:]],EFTable[],3,FALSE),VLOOKUP(Table2[[#This Row],[New Engine Fuel Type:]],EFTable[],3,FALSE)))</f>
        <v/>
      </c>
      <c r="BC91" s="187" t="str">
        <f>IF(Table2[[#This Row],[Counter Number]]="","",Table2[[#This Row],[Old Bus NOx Emissions (tons/yr)]]-Table2[[#This Row],[New Bus NOx Emissions (tons/yr)]])</f>
        <v/>
      </c>
      <c r="BD91" s="188" t="str">
        <f>IF(Table2[[#This Row],[Counter Number]]="","",Table2[[#This Row],[Reduction Bus NOx Emissions (tons/yr)]]/Table2[[#This Row],[Old Bus NOx Emissions (tons/yr)]])</f>
        <v/>
      </c>
      <c r="BE91" s="175" t="str">
        <f>IF(Table2[[#This Row],[Counter Number]]="","",Table2[[#This Row],[Reduction Bus NOx Emissions (tons/yr)]]*Table2[[#This Row],[Remaining Life:]])</f>
        <v/>
      </c>
      <c r="BF91" s="189" t="str">
        <f>IF(Table2[[#This Row],[Counter Number]]="","",IF(Table2[[#This Row],[Lifetime NOx Reduction (tons)]]=0,"NA",Table2[[#This Row],[Upgrade Cost Per Unit]]/Table2[[#This Row],[Lifetime NOx Reduction (tons)]]))</f>
        <v/>
      </c>
      <c r="BG91" s="190" t="str">
        <f>IF(Table2[[#This Row],[Counter Number]]="","",Table2[[#This Row],[Annual Miles Traveled:]]*VLOOKUP(Table2[[#This Row],[Engine Model Year:]],EF!$A$2:$G$27,4,FALSE))</f>
        <v/>
      </c>
      <c r="BH91" s="173" t="str">
        <f>IF(Table2[[#This Row],[Counter Number]]="","",Table2[[#This Row],[Annual Miles Traveled:]]*IF(Table2[[#This Row],[New Engine Fuel Type:]]="ULSD",VLOOKUP(Table2[[#This Row],[New Engine Model Year:]],EFTable[],4,FALSE),VLOOKUP(Table2[[#This Row],[New Engine Fuel Type:]],EFTable[],4,FALSE)))</f>
        <v/>
      </c>
      <c r="BI91" s="191" t="str">
        <f>IF(Table2[[#This Row],[Counter Number]]="","",Table2[[#This Row],[Old Bus PM2.5 Emissions (tons/yr)]]-Table2[[#This Row],[New Bus PM2.5 Emissions (tons/yr)]])</f>
        <v/>
      </c>
      <c r="BJ91" s="192" t="str">
        <f>IF(Table2[[#This Row],[Counter Number]]="","",Table2[[#This Row],[Reduction Bus PM2.5 Emissions (tons/yr)]]/Table2[[#This Row],[Old Bus PM2.5 Emissions (tons/yr)]])</f>
        <v/>
      </c>
      <c r="BK91" s="193" t="str">
        <f>IF(Table2[[#This Row],[Counter Number]]="","",Table2[[#This Row],[Reduction Bus PM2.5 Emissions (tons/yr)]]*Table2[[#This Row],[Remaining Life:]])</f>
        <v/>
      </c>
      <c r="BL91" s="194" t="str">
        <f>IF(Table2[[#This Row],[Counter Number]]="","",IF(Table2[[#This Row],[Lifetime PM2.5 Reduction (tons)]]=0,"NA",Table2[[#This Row],[Upgrade Cost Per Unit]]/Table2[[#This Row],[Lifetime PM2.5 Reduction (tons)]]))</f>
        <v/>
      </c>
      <c r="BM91" s="179" t="str">
        <f>IF(Table2[[#This Row],[Counter Number]]="","",Table2[[#This Row],[Annual Miles Traveled:]]*VLOOKUP(Table2[[#This Row],[Engine Model Year:]],EF!$A$2:$G$40,5,FALSE))</f>
        <v/>
      </c>
      <c r="BN91" s="173" t="str">
        <f>IF(Table2[[#This Row],[Counter Number]]="","",Table2[[#This Row],[Annual Miles Traveled:]]*IF(Table2[[#This Row],[New Engine Fuel Type:]]="ULSD",VLOOKUP(Table2[[#This Row],[New Engine Model Year:]],EFTable[],5,FALSE),VLOOKUP(Table2[[#This Row],[New Engine Fuel Type:]],EFTable[],5,FALSE)))</f>
        <v/>
      </c>
      <c r="BO91" s="190" t="str">
        <f>IF(Table2[[#This Row],[Counter Number]]="","",Table2[[#This Row],[Old Bus HC Emissions (tons/yr)]]-Table2[[#This Row],[New Bus HC Emissions (tons/yr)]])</f>
        <v/>
      </c>
      <c r="BP91" s="188" t="str">
        <f>IF(Table2[[#This Row],[Counter Number]]="","",Table2[[#This Row],[Reduction Bus HC Emissions (tons/yr)]]/Table2[[#This Row],[Old Bus HC Emissions (tons/yr)]])</f>
        <v/>
      </c>
      <c r="BQ91" s="193" t="str">
        <f>IF(Table2[[#This Row],[Counter Number]]="","",Table2[[#This Row],[Reduction Bus HC Emissions (tons/yr)]]*Table2[[#This Row],[Remaining Life:]])</f>
        <v/>
      </c>
      <c r="BR91" s="194" t="str">
        <f>IF(Table2[[#This Row],[Counter Number]]="","",IF(Table2[[#This Row],[Lifetime HC Reduction (tons)]]=0,"NA",Table2[[#This Row],[Upgrade Cost Per Unit]]/Table2[[#This Row],[Lifetime HC Reduction (tons)]]))</f>
        <v/>
      </c>
      <c r="BS91" s="191" t="str">
        <f>IF(Table2[[#This Row],[Counter Number]]="","",Table2[[#This Row],[Annual Miles Traveled:]]*VLOOKUP(Table2[[#This Row],[Engine Model Year:]],EF!$A$2:$G$27,6,FALSE))</f>
        <v/>
      </c>
      <c r="BT91" s="173" t="str">
        <f>IF(Table2[[#This Row],[Counter Number]]="","",Table2[[#This Row],[Annual Miles Traveled:]]*IF(Table2[[#This Row],[New Engine Fuel Type:]]="ULSD",VLOOKUP(Table2[[#This Row],[New Engine Model Year:]],EFTable[],6,FALSE),VLOOKUP(Table2[[#This Row],[New Engine Fuel Type:]],EFTable[],6,FALSE)))</f>
        <v/>
      </c>
      <c r="BU91" s="190" t="str">
        <f>IF(Table2[[#This Row],[Counter Number]]="","",Table2[[#This Row],[Old Bus CO Emissions (tons/yr)]]-Table2[[#This Row],[New Bus CO Emissions (tons/yr)]])</f>
        <v/>
      </c>
      <c r="BV91" s="188" t="str">
        <f>IF(Table2[[#This Row],[Counter Number]]="","",Table2[[#This Row],[Reduction Bus CO Emissions (tons/yr)]]/Table2[[#This Row],[Old Bus CO Emissions (tons/yr)]])</f>
        <v/>
      </c>
      <c r="BW91" s="193" t="str">
        <f>IF(Table2[[#This Row],[Counter Number]]="","",Table2[[#This Row],[Reduction Bus CO Emissions (tons/yr)]]*Table2[[#This Row],[Remaining Life:]])</f>
        <v/>
      </c>
      <c r="BX91" s="194" t="str">
        <f>IF(Table2[[#This Row],[Counter Number]]="","",IF(Table2[[#This Row],[Lifetime CO Reduction (tons)]]=0,"NA",Table2[[#This Row],[Upgrade Cost Per Unit]]/Table2[[#This Row],[Lifetime CO Reduction (tons)]]))</f>
        <v/>
      </c>
      <c r="BY91" s="180" t="str">
        <f>IF(Table2[[#This Row],[Counter Number]]="","",Table2[[#This Row],[Old ULSD Used (gal):]]*VLOOKUP(Table2[[#This Row],[Engine Model Year:]],EF!$A$2:$G$27,7,FALSE))</f>
        <v/>
      </c>
      <c r="BZ9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1" s="195" t="str">
        <f>IF(Table2[[#This Row],[Counter Number]]="","",Table2[[#This Row],[Old Bus CO2 Emissions (tons/yr)]]-Table2[[#This Row],[New Bus CO2 Emissions (tons/yr)]])</f>
        <v/>
      </c>
      <c r="CB91" s="188" t="str">
        <f>IF(Table2[[#This Row],[Counter Number]]="","",Table2[[#This Row],[Reduction Bus CO2 Emissions (tons/yr)]]/Table2[[#This Row],[Old Bus CO2 Emissions (tons/yr)]])</f>
        <v/>
      </c>
      <c r="CC91" s="195" t="str">
        <f>IF(Table2[[#This Row],[Counter Number]]="","",Table2[[#This Row],[Reduction Bus CO2 Emissions (tons/yr)]]*Table2[[#This Row],[Remaining Life:]])</f>
        <v/>
      </c>
      <c r="CD91" s="194" t="str">
        <f>IF(Table2[[#This Row],[Counter Number]]="","",IF(Table2[[#This Row],[Lifetime CO2 Reduction (tons)]]=0,"NA",Table2[[#This Row],[Upgrade Cost Per Unit]]/Table2[[#This Row],[Lifetime CO2 Reduction (tons)]]))</f>
        <v/>
      </c>
      <c r="CE91" s="182" t="str">
        <f>IF(Table2[[#This Row],[Counter Number]]="","",IF(Table2[[#This Row],[New ULSD Used (gal):]]="",Table2[[#This Row],[Old ULSD Used (gal):]],Table2[[#This Row],[Old ULSD Used (gal):]]-Table2[[#This Row],[New ULSD Used (gal):]]))</f>
        <v/>
      </c>
      <c r="CF91" s="196" t="str">
        <f>IF(Table2[[#This Row],[Counter Number]]="","",Table2[[#This Row],[Diesel Fuel Reduction (gal/yr)]]/Table2[[#This Row],[Old ULSD Used (gal):]])</f>
        <v/>
      </c>
      <c r="CG91" s="197" t="str">
        <f>IF(Table2[[#This Row],[Counter Number]]="","",Table2[[#This Row],[Diesel Fuel Reduction (gal/yr)]]*Table2[[#This Row],[Remaining Life:]])</f>
        <v/>
      </c>
    </row>
    <row r="92" spans="1:85">
      <c r="A92" s="184" t="str">
        <f>IF(A91&lt;Application!$D$24,A91+1,"")</f>
        <v/>
      </c>
      <c r="B92" s="60" t="str">
        <f>IF(Table2[[#This Row],[Counter Number]]="","",Application!$D$16)</f>
        <v/>
      </c>
      <c r="C92" s="60" t="str">
        <f>IF(Table2[[#This Row],[Counter Number]]="","",Application!$D$14)</f>
        <v/>
      </c>
      <c r="D92" s="60" t="str">
        <f>IF(Table2[[#This Row],[Counter Number]]="","",Table1[[#This Row],[Old Bus Number]])</f>
        <v/>
      </c>
      <c r="E92" s="60" t="str">
        <f>IF(Table2[[#This Row],[Counter Number]]="","",Application!$D$15)</f>
        <v/>
      </c>
      <c r="F92" s="60" t="str">
        <f>IF(Table2[[#This Row],[Counter Number]]="","","On Highway")</f>
        <v/>
      </c>
      <c r="G92" s="60" t="str">
        <f>IF(Table2[[#This Row],[Counter Number]]="","",I92)</f>
        <v/>
      </c>
      <c r="H92" s="60" t="str">
        <f>IF(Table2[[#This Row],[Counter Number]]="","","Georgia")</f>
        <v/>
      </c>
      <c r="I92" s="60" t="str">
        <f>IF(Table2[[#This Row],[Counter Number]]="","",Application!$D$16)</f>
        <v/>
      </c>
      <c r="J92" s="60" t="str">
        <f>IF(Table2[[#This Row],[Counter Number]]="","",Application!$D$21)</f>
        <v/>
      </c>
      <c r="K92" s="60" t="str">
        <f>IF(Table2[[#This Row],[Counter Number]]="","",Application!$J$21)</f>
        <v/>
      </c>
      <c r="L92" s="60" t="str">
        <f>IF(Table2[[#This Row],[Counter Number]]="","","School Bus")</f>
        <v/>
      </c>
      <c r="M92" s="60" t="str">
        <f>IF(Table2[[#This Row],[Counter Number]]="","","School Bus")</f>
        <v/>
      </c>
      <c r="N92" s="60" t="str">
        <f>IF(Table2[[#This Row],[Counter Number]]="","",1)</f>
        <v/>
      </c>
      <c r="O92" s="60" t="str">
        <f>IF(Table2[[#This Row],[Counter Number]]="","",Table1[[#This Row],[Vehicle Identification Number(s):]])</f>
        <v/>
      </c>
      <c r="P92" s="60" t="str">
        <f>IF(Table2[[#This Row],[Counter Number]]="","",Table1[[#This Row],[Old Bus Manufacturer:]])</f>
        <v/>
      </c>
      <c r="Q92" s="60" t="str">
        <f>IF(Table2[[#This Row],[Counter Number]]="","",Table1[[#This Row],[Vehicle Model:]])</f>
        <v/>
      </c>
      <c r="R92" s="165" t="str">
        <f>IF(Table2[[#This Row],[Counter Number]]="","",Table1[[#This Row],[Vehicle Model Year:]])</f>
        <v/>
      </c>
      <c r="S92" s="60" t="str">
        <f>IF(Table2[[#This Row],[Counter Number]]="","",Table1[[#This Row],[Engine Serial Number(s):]])</f>
        <v/>
      </c>
      <c r="T92" s="60" t="str">
        <f>IF(Table2[[#This Row],[Counter Number]]="","",Table1[[#This Row],[Engine Make:]])</f>
        <v/>
      </c>
      <c r="U92" s="60" t="str">
        <f>IF(Table2[[#This Row],[Counter Number]]="","",Table1[[#This Row],[Engine Model:]])</f>
        <v/>
      </c>
      <c r="V92" s="165" t="str">
        <f>IF(Table2[[#This Row],[Counter Number]]="","",Table1[[#This Row],[Engine Model Year:]])</f>
        <v/>
      </c>
      <c r="W92" s="60" t="str">
        <f>IF(Table2[[#This Row],[Counter Number]]="","","NA")</f>
        <v/>
      </c>
      <c r="X92" s="165" t="str">
        <f>IF(Table2[[#This Row],[Counter Number]]="","",Table1[[#This Row],[Engine Horsepower (HP):]])</f>
        <v/>
      </c>
      <c r="Y92" s="165" t="str">
        <f>IF(Table2[[#This Row],[Counter Number]]="","",Table1[[#This Row],[Engine Cylinder Displacement (L):]]&amp;" L")</f>
        <v/>
      </c>
      <c r="Z92" s="165" t="str">
        <f>IF(Table2[[#This Row],[Counter Number]]="","",Table1[[#This Row],[Engine Number of Cylinders:]])</f>
        <v/>
      </c>
      <c r="AA92" s="166" t="str">
        <f>IF(Table2[[#This Row],[Counter Number]]="","",Table1[[#This Row],[Engine Family Name:]])</f>
        <v/>
      </c>
      <c r="AB92" s="60" t="str">
        <f>IF(Table2[[#This Row],[Counter Number]]="","","ULSD")</f>
        <v/>
      </c>
      <c r="AC92" s="167" t="str">
        <f>IF(Table2[[#This Row],[Counter Number]]="","",Table2[[#This Row],[Annual Miles Traveled:]]/Table1[[#This Row],[Old Fuel (mpg)]])</f>
        <v/>
      </c>
      <c r="AD92" s="60" t="str">
        <f>IF(Table2[[#This Row],[Counter Number]]="","","NA")</f>
        <v/>
      </c>
      <c r="AE92" s="168" t="str">
        <f>IF(Table2[[#This Row],[Counter Number]]="","",Table1[[#This Row],[Annual Miles Traveled]])</f>
        <v/>
      </c>
      <c r="AF92" s="169" t="str">
        <f>IF(Table2[[#This Row],[Counter Number]]="","",Table1[[#This Row],[Annual Idling Hours:]])</f>
        <v/>
      </c>
      <c r="AG92" s="60" t="str">
        <f>IF(Table2[[#This Row],[Counter Number]]="","","NA")</f>
        <v/>
      </c>
      <c r="AH92" s="165" t="str">
        <f>IF(Table2[[#This Row],[Counter Number]]="","",IF(Application!$J$25="Set Policy",Table1[[#This Row],[Remaining Life (years)         Set Policy]],Table1[[#This Row],[Remaining Life (years)               Case-by-Case]]))</f>
        <v/>
      </c>
      <c r="AI92" s="165" t="str">
        <f>IF(Table2[[#This Row],[Counter Number]]="","",IF(Application!$J$25="Case-by-Case","NA",Table2[[#This Row],[Fiscal Year of EPA Funds Used:]]+Table2[[#This Row],[Remaining Life:]]))</f>
        <v/>
      </c>
      <c r="AJ92" s="165"/>
      <c r="AK92" s="170" t="str">
        <f>IF(Table2[[#This Row],[Counter Number]]="","",Application!$D$14+1)</f>
        <v/>
      </c>
      <c r="AL92" s="60" t="str">
        <f>IF(Table2[[#This Row],[Counter Number]]="","","Vehicle Replacement")</f>
        <v/>
      </c>
      <c r="AM9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2" s="171" t="str">
        <f>IF(Table2[[#This Row],[Counter Number]]="","",Table1[[#This Row],[Cost of New Bus:]])</f>
        <v/>
      </c>
      <c r="AO92" s="60" t="str">
        <f>IF(Table2[[#This Row],[Counter Number]]="","","NA")</f>
        <v/>
      </c>
      <c r="AP92" s="165" t="str">
        <f>IF(Table2[[#This Row],[Counter Number]]="","",Table1[[#This Row],[New Engine Model Year:]])</f>
        <v/>
      </c>
      <c r="AQ92" s="60" t="str">
        <f>IF(Table2[[#This Row],[Counter Number]]="","","NA")</f>
        <v/>
      </c>
      <c r="AR92" s="165" t="str">
        <f>IF(Table2[[#This Row],[Counter Number]]="","",Table1[[#This Row],[New Engine Horsepower (HP):]])</f>
        <v/>
      </c>
      <c r="AS92" s="60" t="str">
        <f>IF(Table2[[#This Row],[Counter Number]]="","","NA")</f>
        <v/>
      </c>
      <c r="AT92" s="165" t="str">
        <f>IF(Table2[[#This Row],[Counter Number]]="","",Table1[[#This Row],[New Engine Cylinder Displacement (L):]]&amp;" L")</f>
        <v/>
      </c>
      <c r="AU92" s="114" t="str">
        <f>IF(Table2[[#This Row],[Counter Number]]="","",Table1[[#This Row],[New Engine Number of Cylinders:]])</f>
        <v/>
      </c>
      <c r="AV92" s="60" t="str">
        <f>IF(Table2[[#This Row],[Counter Number]]="","",Table1[[#This Row],[New Engine Family Name:]])</f>
        <v/>
      </c>
      <c r="AW9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2" s="60" t="str">
        <f>IF(Table2[[#This Row],[Counter Number]]="","","NA")</f>
        <v/>
      </c>
      <c r="AY92" s="172" t="str">
        <f>IF(Table2[[#This Row],[Counter Number]]="","",IF(Table2[[#This Row],[New Engine Fuel Type:]]="ULSD",Table1[[#This Row],[Annual Miles Traveled]]/Table1[[#This Row],[New Fuel (mpg) if Diesel]],""))</f>
        <v/>
      </c>
      <c r="AZ92" s="60"/>
      <c r="BA92" s="173" t="str">
        <f>IF(Table2[[#This Row],[Counter Number]]="","",Table2[[#This Row],[Annual Miles Traveled:]]*VLOOKUP(Table2[[#This Row],[Engine Model Year:]],EFTable[],3,FALSE))</f>
        <v/>
      </c>
      <c r="BB92" s="173" t="str">
        <f>IF(Table2[[#This Row],[Counter Number]]="","",Table2[[#This Row],[Annual Miles Traveled:]]*IF(Table2[[#This Row],[New Engine Fuel Type:]]="ULSD",VLOOKUP(Table2[[#This Row],[New Engine Model Year:]],EFTable[],3,FALSE),VLOOKUP(Table2[[#This Row],[New Engine Fuel Type:]],EFTable[],3,FALSE)))</f>
        <v/>
      </c>
      <c r="BC92" s="187" t="str">
        <f>IF(Table2[[#This Row],[Counter Number]]="","",Table2[[#This Row],[Old Bus NOx Emissions (tons/yr)]]-Table2[[#This Row],[New Bus NOx Emissions (tons/yr)]])</f>
        <v/>
      </c>
      <c r="BD92" s="188" t="str">
        <f>IF(Table2[[#This Row],[Counter Number]]="","",Table2[[#This Row],[Reduction Bus NOx Emissions (tons/yr)]]/Table2[[#This Row],[Old Bus NOx Emissions (tons/yr)]])</f>
        <v/>
      </c>
      <c r="BE92" s="175" t="str">
        <f>IF(Table2[[#This Row],[Counter Number]]="","",Table2[[#This Row],[Reduction Bus NOx Emissions (tons/yr)]]*Table2[[#This Row],[Remaining Life:]])</f>
        <v/>
      </c>
      <c r="BF92" s="189" t="str">
        <f>IF(Table2[[#This Row],[Counter Number]]="","",IF(Table2[[#This Row],[Lifetime NOx Reduction (tons)]]=0,"NA",Table2[[#This Row],[Upgrade Cost Per Unit]]/Table2[[#This Row],[Lifetime NOx Reduction (tons)]]))</f>
        <v/>
      </c>
      <c r="BG92" s="190" t="str">
        <f>IF(Table2[[#This Row],[Counter Number]]="","",Table2[[#This Row],[Annual Miles Traveled:]]*VLOOKUP(Table2[[#This Row],[Engine Model Year:]],EF!$A$2:$G$27,4,FALSE))</f>
        <v/>
      </c>
      <c r="BH92" s="173" t="str">
        <f>IF(Table2[[#This Row],[Counter Number]]="","",Table2[[#This Row],[Annual Miles Traveled:]]*IF(Table2[[#This Row],[New Engine Fuel Type:]]="ULSD",VLOOKUP(Table2[[#This Row],[New Engine Model Year:]],EFTable[],4,FALSE),VLOOKUP(Table2[[#This Row],[New Engine Fuel Type:]],EFTable[],4,FALSE)))</f>
        <v/>
      </c>
      <c r="BI92" s="191" t="str">
        <f>IF(Table2[[#This Row],[Counter Number]]="","",Table2[[#This Row],[Old Bus PM2.5 Emissions (tons/yr)]]-Table2[[#This Row],[New Bus PM2.5 Emissions (tons/yr)]])</f>
        <v/>
      </c>
      <c r="BJ92" s="192" t="str">
        <f>IF(Table2[[#This Row],[Counter Number]]="","",Table2[[#This Row],[Reduction Bus PM2.5 Emissions (tons/yr)]]/Table2[[#This Row],[Old Bus PM2.5 Emissions (tons/yr)]])</f>
        <v/>
      </c>
      <c r="BK92" s="193" t="str">
        <f>IF(Table2[[#This Row],[Counter Number]]="","",Table2[[#This Row],[Reduction Bus PM2.5 Emissions (tons/yr)]]*Table2[[#This Row],[Remaining Life:]])</f>
        <v/>
      </c>
      <c r="BL92" s="194" t="str">
        <f>IF(Table2[[#This Row],[Counter Number]]="","",IF(Table2[[#This Row],[Lifetime PM2.5 Reduction (tons)]]=0,"NA",Table2[[#This Row],[Upgrade Cost Per Unit]]/Table2[[#This Row],[Lifetime PM2.5 Reduction (tons)]]))</f>
        <v/>
      </c>
      <c r="BM92" s="179" t="str">
        <f>IF(Table2[[#This Row],[Counter Number]]="","",Table2[[#This Row],[Annual Miles Traveled:]]*VLOOKUP(Table2[[#This Row],[Engine Model Year:]],EF!$A$2:$G$40,5,FALSE))</f>
        <v/>
      </c>
      <c r="BN92" s="173" t="str">
        <f>IF(Table2[[#This Row],[Counter Number]]="","",Table2[[#This Row],[Annual Miles Traveled:]]*IF(Table2[[#This Row],[New Engine Fuel Type:]]="ULSD",VLOOKUP(Table2[[#This Row],[New Engine Model Year:]],EFTable[],5,FALSE),VLOOKUP(Table2[[#This Row],[New Engine Fuel Type:]],EFTable[],5,FALSE)))</f>
        <v/>
      </c>
      <c r="BO92" s="190" t="str">
        <f>IF(Table2[[#This Row],[Counter Number]]="","",Table2[[#This Row],[Old Bus HC Emissions (tons/yr)]]-Table2[[#This Row],[New Bus HC Emissions (tons/yr)]])</f>
        <v/>
      </c>
      <c r="BP92" s="188" t="str">
        <f>IF(Table2[[#This Row],[Counter Number]]="","",Table2[[#This Row],[Reduction Bus HC Emissions (tons/yr)]]/Table2[[#This Row],[Old Bus HC Emissions (tons/yr)]])</f>
        <v/>
      </c>
      <c r="BQ92" s="193" t="str">
        <f>IF(Table2[[#This Row],[Counter Number]]="","",Table2[[#This Row],[Reduction Bus HC Emissions (tons/yr)]]*Table2[[#This Row],[Remaining Life:]])</f>
        <v/>
      </c>
      <c r="BR92" s="194" t="str">
        <f>IF(Table2[[#This Row],[Counter Number]]="","",IF(Table2[[#This Row],[Lifetime HC Reduction (tons)]]=0,"NA",Table2[[#This Row],[Upgrade Cost Per Unit]]/Table2[[#This Row],[Lifetime HC Reduction (tons)]]))</f>
        <v/>
      </c>
      <c r="BS92" s="191" t="str">
        <f>IF(Table2[[#This Row],[Counter Number]]="","",Table2[[#This Row],[Annual Miles Traveled:]]*VLOOKUP(Table2[[#This Row],[Engine Model Year:]],EF!$A$2:$G$27,6,FALSE))</f>
        <v/>
      </c>
      <c r="BT92" s="173" t="str">
        <f>IF(Table2[[#This Row],[Counter Number]]="","",Table2[[#This Row],[Annual Miles Traveled:]]*IF(Table2[[#This Row],[New Engine Fuel Type:]]="ULSD",VLOOKUP(Table2[[#This Row],[New Engine Model Year:]],EFTable[],6,FALSE),VLOOKUP(Table2[[#This Row],[New Engine Fuel Type:]],EFTable[],6,FALSE)))</f>
        <v/>
      </c>
      <c r="BU92" s="190" t="str">
        <f>IF(Table2[[#This Row],[Counter Number]]="","",Table2[[#This Row],[Old Bus CO Emissions (tons/yr)]]-Table2[[#This Row],[New Bus CO Emissions (tons/yr)]])</f>
        <v/>
      </c>
      <c r="BV92" s="188" t="str">
        <f>IF(Table2[[#This Row],[Counter Number]]="","",Table2[[#This Row],[Reduction Bus CO Emissions (tons/yr)]]/Table2[[#This Row],[Old Bus CO Emissions (tons/yr)]])</f>
        <v/>
      </c>
      <c r="BW92" s="193" t="str">
        <f>IF(Table2[[#This Row],[Counter Number]]="","",Table2[[#This Row],[Reduction Bus CO Emissions (tons/yr)]]*Table2[[#This Row],[Remaining Life:]])</f>
        <v/>
      </c>
      <c r="BX92" s="194" t="str">
        <f>IF(Table2[[#This Row],[Counter Number]]="","",IF(Table2[[#This Row],[Lifetime CO Reduction (tons)]]=0,"NA",Table2[[#This Row],[Upgrade Cost Per Unit]]/Table2[[#This Row],[Lifetime CO Reduction (tons)]]))</f>
        <v/>
      </c>
      <c r="BY92" s="180" t="str">
        <f>IF(Table2[[#This Row],[Counter Number]]="","",Table2[[#This Row],[Old ULSD Used (gal):]]*VLOOKUP(Table2[[#This Row],[Engine Model Year:]],EF!$A$2:$G$27,7,FALSE))</f>
        <v/>
      </c>
      <c r="BZ9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2" s="195" t="str">
        <f>IF(Table2[[#This Row],[Counter Number]]="","",Table2[[#This Row],[Old Bus CO2 Emissions (tons/yr)]]-Table2[[#This Row],[New Bus CO2 Emissions (tons/yr)]])</f>
        <v/>
      </c>
      <c r="CB92" s="188" t="str">
        <f>IF(Table2[[#This Row],[Counter Number]]="","",Table2[[#This Row],[Reduction Bus CO2 Emissions (tons/yr)]]/Table2[[#This Row],[Old Bus CO2 Emissions (tons/yr)]])</f>
        <v/>
      </c>
      <c r="CC92" s="195" t="str">
        <f>IF(Table2[[#This Row],[Counter Number]]="","",Table2[[#This Row],[Reduction Bus CO2 Emissions (tons/yr)]]*Table2[[#This Row],[Remaining Life:]])</f>
        <v/>
      </c>
      <c r="CD92" s="194" t="str">
        <f>IF(Table2[[#This Row],[Counter Number]]="","",IF(Table2[[#This Row],[Lifetime CO2 Reduction (tons)]]=0,"NA",Table2[[#This Row],[Upgrade Cost Per Unit]]/Table2[[#This Row],[Lifetime CO2 Reduction (tons)]]))</f>
        <v/>
      </c>
      <c r="CE92" s="182" t="str">
        <f>IF(Table2[[#This Row],[Counter Number]]="","",IF(Table2[[#This Row],[New ULSD Used (gal):]]="",Table2[[#This Row],[Old ULSD Used (gal):]],Table2[[#This Row],[Old ULSD Used (gal):]]-Table2[[#This Row],[New ULSD Used (gal):]]))</f>
        <v/>
      </c>
      <c r="CF92" s="196" t="str">
        <f>IF(Table2[[#This Row],[Counter Number]]="","",Table2[[#This Row],[Diesel Fuel Reduction (gal/yr)]]/Table2[[#This Row],[Old ULSD Used (gal):]])</f>
        <v/>
      </c>
      <c r="CG92" s="197" t="str">
        <f>IF(Table2[[#This Row],[Counter Number]]="","",Table2[[#This Row],[Diesel Fuel Reduction (gal/yr)]]*Table2[[#This Row],[Remaining Life:]])</f>
        <v/>
      </c>
    </row>
    <row r="93" spans="1:85">
      <c r="A93" s="184" t="str">
        <f>IF(A92&lt;Application!$D$24,A92+1,"")</f>
        <v/>
      </c>
      <c r="B93" s="60" t="str">
        <f>IF(Table2[[#This Row],[Counter Number]]="","",Application!$D$16)</f>
        <v/>
      </c>
      <c r="C93" s="60" t="str">
        <f>IF(Table2[[#This Row],[Counter Number]]="","",Application!$D$14)</f>
        <v/>
      </c>
      <c r="D93" s="60" t="str">
        <f>IF(Table2[[#This Row],[Counter Number]]="","",Table1[[#This Row],[Old Bus Number]])</f>
        <v/>
      </c>
      <c r="E93" s="60" t="str">
        <f>IF(Table2[[#This Row],[Counter Number]]="","",Application!$D$15)</f>
        <v/>
      </c>
      <c r="F93" s="60" t="str">
        <f>IF(Table2[[#This Row],[Counter Number]]="","","On Highway")</f>
        <v/>
      </c>
      <c r="G93" s="60" t="str">
        <f>IF(Table2[[#This Row],[Counter Number]]="","",I93)</f>
        <v/>
      </c>
      <c r="H93" s="60" t="str">
        <f>IF(Table2[[#This Row],[Counter Number]]="","","Georgia")</f>
        <v/>
      </c>
      <c r="I93" s="60" t="str">
        <f>IF(Table2[[#This Row],[Counter Number]]="","",Application!$D$16)</f>
        <v/>
      </c>
      <c r="J93" s="60" t="str">
        <f>IF(Table2[[#This Row],[Counter Number]]="","",Application!$D$21)</f>
        <v/>
      </c>
      <c r="K93" s="60" t="str">
        <f>IF(Table2[[#This Row],[Counter Number]]="","",Application!$J$21)</f>
        <v/>
      </c>
      <c r="L93" s="60" t="str">
        <f>IF(Table2[[#This Row],[Counter Number]]="","","School Bus")</f>
        <v/>
      </c>
      <c r="M93" s="60" t="str">
        <f>IF(Table2[[#This Row],[Counter Number]]="","","School Bus")</f>
        <v/>
      </c>
      <c r="N93" s="60" t="str">
        <f>IF(Table2[[#This Row],[Counter Number]]="","",1)</f>
        <v/>
      </c>
      <c r="O93" s="60" t="str">
        <f>IF(Table2[[#This Row],[Counter Number]]="","",Table1[[#This Row],[Vehicle Identification Number(s):]])</f>
        <v/>
      </c>
      <c r="P93" s="60" t="str">
        <f>IF(Table2[[#This Row],[Counter Number]]="","",Table1[[#This Row],[Old Bus Manufacturer:]])</f>
        <v/>
      </c>
      <c r="Q93" s="60" t="str">
        <f>IF(Table2[[#This Row],[Counter Number]]="","",Table1[[#This Row],[Vehicle Model:]])</f>
        <v/>
      </c>
      <c r="R93" s="165" t="str">
        <f>IF(Table2[[#This Row],[Counter Number]]="","",Table1[[#This Row],[Vehicle Model Year:]])</f>
        <v/>
      </c>
      <c r="S93" s="60" t="str">
        <f>IF(Table2[[#This Row],[Counter Number]]="","",Table1[[#This Row],[Engine Serial Number(s):]])</f>
        <v/>
      </c>
      <c r="T93" s="60" t="str">
        <f>IF(Table2[[#This Row],[Counter Number]]="","",Table1[[#This Row],[Engine Make:]])</f>
        <v/>
      </c>
      <c r="U93" s="60" t="str">
        <f>IF(Table2[[#This Row],[Counter Number]]="","",Table1[[#This Row],[Engine Model:]])</f>
        <v/>
      </c>
      <c r="V93" s="165" t="str">
        <f>IF(Table2[[#This Row],[Counter Number]]="","",Table1[[#This Row],[Engine Model Year:]])</f>
        <v/>
      </c>
      <c r="W93" s="60" t="str">
        <f>IF(Table2[[#This Row],[Counter Number]]="","","NA")</f>
        <v/>
      </c>
      <c r="X93" s="165" t="str">
        <f>IF(Table2[[#This Row],[Counter Number]]="","",Table1[[#This Row],[Engine Horsepower (HP):]])</f>
        <v/>
      </c>
      <c r="Y93" s="165" t="str">
        <f>IF(Table2[[#This Row],[Counter Number]]="","",Table1[[#This Row],[Engine Cylinder Displacement (L):]]&amp;" L")</f>
        <v/>
      </c>
      <c r="Z93" s="165" t="str">
        <f>IF(Table2[[#This Row],[Counter Number]]="","",Table1[[#This Row],[Engine Number of Cylinders:]])</f>
        <v/>
      </c>
      <c r="AA93" s="166" t="str">
        <f>IF(Table2[[#This Row],[Counter Number]]="","",Table1[[#This Row],[Engine Family Name:]])</f>
        <v/>
      </c>
      <c r="AB93" s="60" t="str">
        <f>IF(Table2[[#This Row],[Counter Number]]="","","ULSD")</f>
        <v/>
      </c>
      <c r="AC93" s="167" t="str">
        <f>IF(Table2[[#This Row],[Counter Number]]="","",Table2[[#This Row],[Annual Miles Traveled:]]/Table1[[#This Row],[Old Fuel (mpg)]])</f>
        <v/>
      </c>
      <c r="AD93" s="60" t="str">
        <f>IF(Table2[[#This Row],[Counter Number]]="","","NA")</f>
        <v/>
      </c>
      <c r="AE93" s="168" t="str">
        <f>IF(Table2[[#This Row],[Counter Number]]="","",Table1[[#This Row],[Annual Miles Traveled]])</f>
        <v/>
      </c>
      <c r="AF93" s="169" t="str">
        <f>IF(Table2[[#This Row],[Counter Number]]="","",Table1[[#This Row],[Annual Idling Hours:]])</f>
        <v/>
      </c>
      <c r="AG93" s="60" t="str">
        <f>IF(Table2[[#This Row],[Counter Number]]="","","NA")</f>
        <v/>
      </c>
      <c r="AH93" s="165" t="str">
        <f>IF(Table2[[#This Row],[Counter Number]]="","",IF(Application!$J$25="Set Policy",Table1[[#This Row],[Remaining Life (years)         Set Policy]],Table1[[#This Row],[Remaining Life (years)               Case-by-Case]]))</f>
        <v/>
      </c>
      <c r="AI93" s="165" t="str">
        <f>IF(Table2[[#This Row],[Counter Number]]="","",IF(Application!$J$25="Case-by-Case","NA",Table2[[#This Row],[Fiscal Year of EPA Funds Used:]]+Table2[[#This Row],[Remaining Life:]]))</f>
        <v/>
      </c>
      <c r="AJ93" s="165"/>
      <c r="AK93" s="170" t="str">
        <f>IF(Table2[[#This Row],[Counter Number]]="","",Application!$D$14+1)</f>
        <v/>
      </c>
      <c r="AL93" s="60" t="str">
        <f>IF(Table2[[#This Row],[Counter Number]]="","","Vehicle Replacement")</f>
        <v/>
      </c>
      <c r="AM9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3" s="171" t="str">
        <f>IF(Table2[[#This Row],[Counter Number]]="","",Table1[[#This Row],[Cost of New Bus:]])</f>
        <v/>
      </c>
      <c r="AO93" s="60" t="str">
        <f>IF(Table2[[#This Row],[Counter Number]]="","","NA")</f>
        <v/>
      </c>
      <c r="AP93" s="165" t="str">
        <f>IF(Table2[[#This Row],[Counter Number]]="","",Table1[[#This Row],[New Engine Model Year:]])</f>
        <v/>
      </c>
      <c r="AQ93" s="60" t="str">
        <f>IF(Table2[[#This Row],[Counter Number]]="","","NA")</f>
        <v/>
      </c>
      <c r="AR93" s="165" t="str">
        <f>IF(Table2[[#This Row],[Counter Number]]="","",Table1[[#This Row],[New Engine Horsepower (HP):]])</f>
        <v/>
      </c>
      <c r="AS93" s="60" t="str">
        <f>IF(Table2[[#This Row],[Counter Number]]="","","NA")</f>
        <v/>
      </c>
      <c r="AT93" s="165" t="str">
        <f>IF(Table2[[#This Row],[Counter Number]]="","",Table1[[#This Row],[New Engine Cylinder Displacement (L):]]&amp;" L")</f>
        <v/>
      </c>
      <c r="AU93" s="114" t="str">
        <f>IF(Table2[[#This Row],[Counter Number]]="","",Table1[[#This Row],[New Engine Number of Cylinders:]])</f>
        <v/>
      </c>
      <c r="AV93" s="60" t="str">
        <f>IF(Table2[[#This Row],[Counter Number]]="","",Table1[[#This Row],[New Engine Family Name:]])</f>
        <v/>
      </c>
      <c r="AW9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3" s="60" t="str">
        <f>IF(Table2[[#This Row],[Counter Number]]="","","NA")</f>
        <v/>
      </c>
      <c r="AY93" s="172" t="str">
        <f>IF(Table2[[#This Row],[Counter Number]]="","",IF(Table2[[#This Row],[New Engine Fuel Type:]]="ULSD",Table1[[#This Row],[Annual Miles Traveled]]/Table1[[#This Row],[New Fuel (mpg) if Diesel]],""))</f>
        <v/>
      </c>
      <c r="AZ93" s="60"/>
      <c r="BA93" s="173" t="str">
        <f>IF(Table2[[#This Row],[Counter Number]]="","",Table2[[#This Row],[Annual Miles Traveled:]]*VLOOKUP(Table2[[#This Row],[Engine Model Year:]],EFTable[],3,FALSE))</f>
        <v/>
      </c>
      <c r="BB93" s="173" t="str">
        <f>IF(Table2[[#This Row],[Counter Number]]="","",Table2[[#This Row],[Annual Miles Traveled:]]*IF(Table2[[#This Row],[New Engine Fuel Type:]]="ULSD",VLOOKUP(Table2[[#This Row],[New Engine Model Year:]],EFTable[],3,FALSE),VLOOKUP(Table2[[#This Row],[New Engine Fuel Type:]],EFTable[],3,FALSE)))</f>
        <v/>
      </c>
      <c r="BC93" s="187" t="str">
        <f>IF(Table2[[#This Row],[Counter Number]]="","",Table2[[#This Row],[Old Bus NOx Emissions (tons/yr)]]-Table2[[#This Row],[New Bus NOx Emissions (tons/yr)]])</f>
        <v/>
      </c>
      <c r="BD93" s="188" t="str">
        <f>IF(Table2[[#This Row],[Counter Number]]="","",Table2[[#This Row],[Reduction Bus NOx Emissions (tons/yr)]]/Table2[[#This Row],[Old Bus NOx Emissions (tons/yr)]])</f>
        <v/>
      </c>
      <c r="BE93" s="175" t="str">
        <f>IF(Table2[[#This Row],[Counter Number]]="","",Table2[[#This Row],[Reduction Bus NOx Emissions (tons/yr)]]*Table2[[#This Row],[Remaining Life:]])</f>
        <v/>
      </c>
      <c r="BF93" s="189" t="str">
        <f>IF(Table2[[#This Row],[Counter Number]]="","",IF(Table2[[#This Row],[Lifetime NOx Reduction (tons)]]=0,"NA",Table2[[#This Row],[Upgrade Cost Per Unit]]/Table2[[#This Row],[Lifetime NOx Reduction (tons)]]))</f>
        <v/>
      </c>
      <c r="BG93" s="190" t="str">
        <f>IF(Table2[[#This Row],[Counter Number]]="","",Table2[[#This Row],[Annual Miles Traveled:]]*VLOOKUP(Table2[[#This Row],[Engine Model Year:]],EF!$A$2:$G$27,4,FALSE))</f>
        <v/>
      </c>
      <c r="BH93" s="173" t="str">
        <f>IF(Table2[[#This Row],[Counter Number]]="","",Table2[[#This Row],[Annual Miles Traveled:]]*IF(Table2[[#This Row],[New Engine Fuel Type:]]="ULSD",VLOOKUP(Table2[[#This Row],[New Engine Model Year:]],EFTable[],4,FALSE),VLOOKUP(Table2[[#This Row],[New Engine Fuel Type:]],EFTable[],4,FALSE)))</f>
        <v/>
      </c>
      <c r="BI93" s="191" t="str">
        <f>IF(Table2[[#This Row],[Counter Number]]="","",Table2[[#This Row],[Old Bus PM2.5 Emissions (tons/yr)]]-Table2[[#This Row],[New Bus PM2.5 Emissions (tons/yr)]])</f>
        <v/>
      </c>
      <c r="BJ93" s="192" t="str">
        <f>IF(Table2[[#This Row],[Counter Number]]="","",Table2[[#This Row],[Reduction Bus PM2.5 Emissions (tons/yr)]]/Table2[[#This Row],[Old Bus PM2.5 Emissions (tons/yr)]])</f>
        <v/>
      </c>
      <c r="BK93" s="193" t="str">
        <f>IF(Table2[[#This Row],[Counter Number]]="","",Table2[[#This Row],[Reduction Bus PM2.5 Emissions (tons/yr)]]*Table2[[#This Row],[Remaining Life:]])</f>
        <v/>
      </c>
      <c r="BL93" s="194" t="str">
        <f>IF(Table2[[#This Row],[Counter Number]]="","",IF(Table2[[#This Row],[Lifetime PM2.5 Reduction (tons)]]=0,"NA",Table2[[#This Row],[Upgrade Cost Per Unit]]/Table2[[#This Row],[Lifetime PM2.5 Reduction (tons)]]))</f>
        <v/>
      </c>
      <c r="BM93" s="179" t="str">
        <f>IF(Table2[[#This Row],[Counter Number]]="","",Table2[[#This Row],[Annual Miles Traveled:]]*VLOOKUP(Table2[[#This Row],[Engine Model Year:]],EF!$A$2:$G$40,5,FALSE))</f>
        <v/>
      </c>
      <c r="BN93" s="173" t="str">
        <f>IF(Table2[[#This Row],[Counter Number]]="","",Table2[[#This Row],[Annual Miles Traveled:]]*IF(Table2[[#This Row],[New Engine Fuel Type:]]="ULSD",VLOOKUP(Table2[[#This Row],[New Engine Model Year:]],EFTable[],5,FALSE),VLOOKUP(Table2[[#This Row],[New Engine Fuel Type:]],EFTable[],5,FALSE)))</f>
        <v/>
      </c>
      <c r="BO93" s="190" t="str">
        <f>IF(Table2[[#This Row],[Counter Number]]="","",Table2[[#This Row],[Old Bus HC Emissions (tons/yr)]]-Table2[[#This Row],[New Bus HC Emissions (tons/yr)]])</f>
        <v/>
      </c>
      <c r="BP93" s="188" t="str">
        <f>IF(Table2[[#This Row],[Counter Number]]="","",Table2[[#This Row],[Reduction Bus HC Emissions (tons/yr)]]/Table2[[#This Row],[Old Bus HC Emissions (tons/yr)]])</f>
        <v/>
      </c>
      <c r="BQ93" s="193" t="str">
        <f>IF(Table2[[#This Row],[Counter Number]]="","",Table2[[#This Row],[Reduction Bus HC Emissions (tons/yr)]]*Table2[[#This Row],[Remaining Life:]])</f>
        <v/>
      </c>
      <c r="BR93" s="194" t="str">
        <f>IF(Table2[[#This Row],[Counter Number]]="","",IF(Table2[[#This Row],[Lifetime HC Reduction (tons)]]=0,"NA",Table2[[#This Row],[Upgrade Cost Per Unit]]/Table2[[#This Row],[Lifetime HC Reduction (tons)]]))</f>
        <v/>
      </c>
      <c r="BS93" s="191" t="str">
        <f>IF(Table2[[#This Row],[Counter Number]]="","",Table2[[#This Row],[Annual Miles Traveled:]]*VLOOKUP(Table2[[#This Row],[Engine Model Year:]],EF!$A$2:$G$27,6,FALSE))</f>
        <v/>
      </c>
      <c r="BT93" s="173" t="str">
        <f>IF(Table2[[#This Row],[Counter Number]]="","",Table2[[#This Row],[Annual Miles Traveled:]]*IF(Table2[[#This Row],[New Engine Fuel Type:]]="ULSD",VLOOKUP(Table2[[#This Row],[New Engine Model Year:]],EFTable[],6,FALSE),VLOOKUP(Table2[[#This Row],[New Engine Fuel Type:]],EFTable[],6,FALSE)))</f>
        <v/>
      </c>
      <c r="BU93" s="190" t="str">
        <f>IF(Table2[[#This Row],[Counter Number]]="","",Table2[[#This Row],[Old Bus CO Emissions (tons/yr)]]-Table2[[#This Row],[New Bus CO Emissions (tons/yr)]])</f>
        <v/>
      </c>
      <c r="BV93" s="188" t="str">
        <f>IF(Table2[[#This Row],[Counter Number]]="","",Table2[[#This Row],[Reduction Bus CO Emissions (tons/yr)]]/Table2[[#This Row],[Old Bus CO Emissions (tons/yr)]])</f>
        <v/>
      </c>
      <c r="BW93" s="193" t="str">
        <f>IF(Table2[[#This Row],[Counter Number]]="","",Table2[[#This Row],[Reduction Bus CO Emissions (tons/yr)]]*Table2[[#This Row],[Remaining Life:]])</f>
        <v/>
      </c>
      <c r="BX93" s="194" t="str">
        <f>IF(Table2[[#This Row],[Counter Number]]="","",IF(Table2[[#This Row],[Lifetime CO Reduction (tons)]]=0,"NA",Table2[[#This Row],[Upgrade Cost Per Unit]]/Table2[[#This Row],[Lifetime CO Reduction (tons)]]))</f>
        <v/>
      </c>
      <c r="BY93" s="180" t="str">
        <f>IF(Table2[[#This Row],[Counter Number]]="","",Table2[[#This Row],[Old ULSD Used (gal):]]*VLOOKUP(Table2[[#This Row],[Engine Model Year:]],EF!$A$2:$G$27,7,FALSE))</f>
        <v/>
      </c>
      <c r="BZ9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3" s="195" t="str">
        <f>IF(Table2[[#This Row],[Counter Number]]="","",Table2[[#This Row],[Old Bus CO2 Emissions (tons/yr)]]-Table2[[#This Row],[New Bus CO2 Emissions (tons/yr)]])</f>
        <v/>
      </c>
      <c r="CB93" s="188" t="str">
        <f>IF(Table2[[#This Row],[Counter Number]]="","",Table2[[#This Row],[Reduction Bus CO2 Emissions (tons/yr)]]/Table2[[#This Row],[Old Bus CO2 Emissions (tons/yr)]])</f>
        <v/>
      </c>
      <c r="CC93" s="195" t="str">
        <f>IF(Table2[[#This Row],[Counter Number]]="","",Table2[[#This Row],[Reduction Bus CO2 Emissions (tons/yr)]]*Table2[[#This Row],[Remaining Life:]])</f>
        <v/>
      </c>
      <c r="CD93" s="194" t="str">
        <f>IF(Table2[[#This Row],[Counter Number]]="","",IF(Table2[[#This Row],[Lifetime CO2 Reduction (tons)]]=0,"NA",Table2[[#This Row],[Upgrade Cost Per Unit]]/Table2[[#This Row],[Lifetime CO2 Reduction (tons)]]))</f>
        <v/>
      </c>
      <c r="CE93" s="182" t="str">
        <f>IF(Table2[[#This Row],[Counter Number]]="","",IF(Table2[[#This Row],[New ULSD Used (gal):]]="",Table2[[#This Row],[Old ULSD Used (gal):]],Table2[[#This Row],[Old ULSD Used (gal):]]-Table2[[#This Row],[New ULSD Used (gal):]]))</f>
        <v/>
      </c>
      <c r="CF93" s="196" t="str">
        <f>IF(Table2[[#This Row],[Counter Number]]="","",Table2[[#This Row],[Diesel Fuel Reduction (gal/yr)]]/Table2[[#This Row],[Old ULSD Used (gal):]])</f>
        <v/>
      </c>
      <c r="CG93" s="197" t="str">
        <f>IF(Table2[[#This Row],[Counter Number]]="","",Table2[[#This Row],[Diesel Fuel Reduction (gal/yr)]]*Table2[[#This Row],[Remaining Life:]])</f>
        <v/>
      </c>
    </row>
    <row r="94" spans="1:85">
      <c r="A94" s="184" t="str">
        <f>IF(A93&lt;Application!$D$24,A93+1,"")</f>
        <v/>
      </c>
      <c r="B94" s="60" t="str">
        <f>IF(Table2[[#This Row],[Counter Number]]="","",Application!$D$16)</f>
        <v/>
      </c>
      <c r="C94" s="60" t="str">
        <f>IF(Table2[[#This Row],[Counter Number]]="","",Application!$D$14)</f>
        <v/>
      </c>
      <c r="D94" s="60" t="str">
        <f>IF(Table2[[#This Row],[Counter Number]]="","",Table1[[#This Row],[Old Bus Number]])</f>
        <v/>
      </c>
      <c r="E94" s="60" t="str">
        <f>IF(Table2[[#This Row],[Counter Number]]="","",Application!$D$15)</f>
        <v/>
      </c>
      <c r="F94" s="60" t="str">
        <f>IF(Table2[[#This Row],[Counter Number]]="","","On Highway")</f>
        <v/>
      </c>
      <c r="G94" s="60" t="str">
        <f>IF(Table2[[#This Row],[Counter Number]]="","",I94)</f>
        <v/>
      </c>
      <c r="H94" s="60" t="str">
        <f>IF(Table2[[#This Row],[Counter Number]]="","","Georgia")</f>
        <v/>
      </c>
      <c r="I94" s="60" t="str">
        <f>IF(Table2[[#This Row],[Counter Number]]="","",Application!$D$16)</f>
        <v/>
      </c>
      <c r="J94" s="60" t="str">
        <f>IF(Table2[[#This Row],[Counter Number]]="","",Application!$D$21)</f>
        <v/>
      </c>
      <c r="K94" s="60" t="str">
        <f>IF(Table2[[#This Row],[Counter Number]]="","",Application!$J$21)</f>
        <v/>
      </c>
      <c r="L94" s="60" t="str">
        <f>IF(Table2[[#This Row],[Counter Number]]="","","School Bus")</f>
        <v/>
      </c>
      <c r="M94" s="60" t="str">
        <f>IF(Table2[[#This Row],[Counter Number]]="","","School Bus")</f>
        <v/>
      </c>
      <c r="N94" s="60" t="str">
        <f>IF(Table2[[#This Row],[Counter Number]]="","",1)</f>
        <v/>
      </c>
      <c r="O94" s="60" t="str">
        <f>IF(Table2[[#This Row],[Counter Number]]="","",Table1[[#This Row],[Vehicle Identification Number(s):]])</f>
        <v/>
      </c>
      <c r="P94" s="60" t="str">
        <f>IF(Table2[[#This Row],[Counter Number]]="","",Table1[[#This Row],[Old Bus Manufacturer:]])</f>
        <v/>
      </c>
      <c r="Q94" s="60" t="str">
        <f>IF(Table2[[#This Row],[Counter Number]]="","",Table1[[#This Row],[Vehicle Model:]])</f>
        <v/>
      </c>
      <c r="R94" s="165" t="str">
        <f>IF(Table2[[#This Row],[Counter Number]]="","",Table1[[#This Row],[Vehicle Model Year:]])</f>
        <v/>
      </c>
      <c r="S94" s="60" t="str">
        <f>IF(Table2[[#This Row],[Counter Number]]="","",Table1[[#This Row],[Engine Serial Number(s):]])</f>
        <v/>
      </c>
      <c r="T94" s="60" t="str">
        <f>IF(Table2[[#This Row],[Counter Number]]="","",Table1[[#This Row],[Engine Make:]])</f>
        <v/>
      </c>
      <c r="U94" s="60" t="str">
        <f>IF(Table2[[#This Row],[Counter Number]]="","",Table1[[#This Row],[Engine Model:]])</f>
        <v/>
      </c>
      <c r="V94" s="165" t="str">
        <f>IF(Table2[[#This Row],[Counter Number]]="","",Table1[[#This Row],[Engine Model Year:]])</f>
        <v/>
      </c>
      <c r="W94" s="60" t="str">
        <f>IF(Table2[[#This Row],[Counter Number]]="","","NA")</f>
        <v/>
      </c>
      <c r="X94" s="165" t="str">
        <f>IF(Table2[[#This Row],[Counter Number]]="","",Table1[[#This Row],[Engine Horsepower (HP):]])</f>
        <v/>
      </c>
      <c r="Y94" s="165" t="str">
        <f>IF(Table2[[#This Row],[Counter Number]]="","",Table1[[#This Row],[Engine Cylinder Displacement (L):]]&amp;" L")</f>
        <v/>
      </c>
      <c r="Z94" s="165" t="str">
        <f>IF(Table2[[#This Row],[Counter Number]]="","",Table1[[#This Row],[Engine Number of Cylinders:]])</f>
        <v/>
      </c>
      <c r="AA94" s="166" t="str">
        <f>IF(Table2[[#This Row],[Counter Number]]="","",Table1[[#This Row],[Engine Family Name:]])</f>
        <v/>
      </c>
      <c r="AB94" s="60" t="str">
        <f>IF(Table2[[#This Row],[Counter Number]]="","","ULSD")</f>
        <v/>
      </c>
      <c r="AC94" s="167" t="str">
        <f>IF(Table2[[#This Row],[Counter Number]]="","",Table2[[#This Row],[Annual Miles Traveled:]]/Table1[[#This Row],[Old Fuel (mpg)]])</f>
        <v/>
      </c>
      <c r="AD94" s="60" t="str">
        <f>IF(Table2[[#This Row],[Counter Number]]="","","NA")</f>
        <v/>
      </c>
      <c r="AE94" s="168" t="str">
        <f>IF(Table2[[#This Row],[Counter Number]]="","",Table1[[#This Row],[Annual Miles Traveled]])</f>
        <v/>
      </c>
      <c r="AF94" s="169" t="str">
        <f>IF(Table2[[#This Row],[Counter Number]]="","",Table1[[#This Row],[Annual Idling Hours:]])</f>
        <v/>
      </c>
      <c r="AG94" s="60" t="str">
        <f>IF(Table2[[#This Row],[Counter Number]]="","","NA")</f>
        <v/>
      </c>
      <c r="AH94" s="165" t="str">
        <f>IF(Table2[[#This Row],[Counter Number]]="","",IF(Application!$J$25="Set Policy",Table1[[#This Row],[Remaining Life (years)         Set Policy]],Table1[[#This Row],[Remaining Life (years)               Case-by-Case]]))</f>
        <v/>
      </c>
      <c r="AI94" s="165" t="str">
        <f>IF(Table2[[#This Row],[Counter Number]]="","",IF(Application!$J$25="Case-by-Case","NA",Table2[[#This Row],[Fiscal Year of EPA Funds Used:]]+Table2[[#This Row],[Remaining Life:]]))</f>
        <v/>
      </c>
      <c r="AJ94" s="165"/>
      <c r="AK94" s="170" t="str">
        <f>IF(Table2[[#This Row],[Counter Number]]="","",Application!$D$14+1)</f>
        <v/>
      </c>
      <c r="AL94" s="60" t="str">
        <f>IF(Table2[[#This Row],[Counter Number]]="","","Vehicle Replacement")</f>
        <v/>
      </c>
      <c r="AM9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4" s="171" t="str">
        <f>IF(Table2[[#This Row],[Counter Number]]="","",Table1[[#This Row],[Cost of New Bus:]])</f>
        <v/>
      </c>
      <c r="AO94" s="60" t="str">
        <f>IF(Table2[[#This Row],[Counter Number]]="","","NA")</f>
        <v/>
      </c>
      <c r="AP94" s="165" t="str">
        <f>IF(Table2[[#This Row],[Counter Number]]="","",Table1[[#This Row],[New Engine Model Year:]])</f>
        <v/>
      </c>
      <c r="AQ94" s="60" t="str">
        <f>IF(Table2[[#This Row],[Counter Number]]="","","NA")</f>
        <v/>
      </c>
      <c r="AR94" s="165" t="str">
        <f>IF(Table2[[#This Row],[Counter Number]]="","",Table1[[#This Row],[New Engine Horsepower (HP):]])</f>
        <v/>
      </c>
      <c r="AS94" s="60" t="str">
        <f>IF(Table2[[#This Row],[Counter Number]]="","","NA")</f>
        <v/>
      </c>
      <c r="AT94" s="165" t="str">
        <f>IF(Table2[[#This Row],[Counter Number]]="","",Table1[[#This Row],[New Engine Cylinder Displacement (L):]]&amp;" L")</f>
        <v/>
      </c>
      <c r="AU94" s="114" t="str">
        <f>IF(Table2[[#This Row],[Counter Number]]="","",Table1[[#This Row],[New Engine Number of Cylinders:]])</f>
        <v/>
      </c>
      <c r="AV94" s="60" t="str">
        <f>IF(Table2[[#This Row],[Counter Number]]="","",Table1[[#This Row],[New Engine Family Name:]])</f>
        <v/>
      </c>
      <c r="AW9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4" s="60" t="str">
        <f>IF(Table2[[#This Row],[Counter Number]]="","","NA")</f>
        <v/>
      </c>
      <c r="AY94" s="172" t="str">
        <f>IF(Table2[[#This Row],[Counter Number]]="","",IF(Table2[[#This Row],[New Engine Fuel Type:]]="ULSD",Table1[[#This Row],[Annual Miles Traveled]]/Table1[[#This Row],[New Fuel (mpg) if Diesel]],""))</f>
        <v/>
      </c>
      <c r="AZ94" s="60"/>
      <c r="BA94" s="173" t="str">
        <f>IF(Table2[[#This Row],[Counter Number]]="","",Table2[[#This Row],[Annual Miles Traveled:]]*VLOOKUP(Table2[[#This Row],[Engine Model Year:]],EFTable[],3,FALSE))</f>
        <v/>
      </c>
      <c r="BB94" s="173" t="str">
        <f>IF(Table2[[#This Row],[Counter Number]]="","",Table2[[#This Row],[Annual Miles Traveled:]]*IF(Table2[[#This Row],[New Engine Fuel Type:]]="ULSD",VLOOKUP(Table2[[#This Row],[New Engine Model Year:]],EFTable[],3,FALSE),VLOOKUP(Table2[[#This Row],[New Engine Fuel Type:]],EFTable[],3,FALSE)))</f>
        <v/>
      </c>
      <c r="BC94" s="187" t="str">
        <f>IF(Table2[[#This Row],[Counter Number]]="","",Table2[[#This Row],[Old Bus NOx Emissions (tons/yr)]]-Table2[[#This Row],[New Bus NOx Emissions (tons/yr)]])</f>
        <v/>
      </c>
      <c r="BD94" s="188" t="str">
        <f>IF(Table2[[#This Row],[Counter Number]]="","",Table2[[#This Row],[Reduction Bus NOx Emissions (tons/yr)]]/Table2[[#This Row],[Old Bus NOx Emissions (tons/yr)]])</f>
        <v/>
      </c>
      <c r="BE94" s="175" t="str">
        <f>IF(Table2[[#This Row],[Counter Number]]="","",Table2[[#This Row],[Reduction Bus NOx Emissions (tons/yr)]]*Table2[[#This Row],[Remaining Life:]])</f>
        <v/>
      </c>
      <c r="BF94" s="189" t="str">
        <f>IF(Table2[[#This Row],[Counter Number]]="","",IF(Table2[[#This Row],[Lifetime NOx Reduction (tons)]]=0,"NA",Table2[[#This Row],[Upgrade Cost Per Unit]]/Table2[[#This Row],[Lifetime NOx Reduction (tons)]]))</f>
        <v/>
      </c>
      <c r="BG94" s="190" t="str">
        <f>IF(Table2[[#This Row],[Counter Number]]="","",Table2[[#This Row],[Annual Miles Traveled:]]*VLOOKUP(Table2[[#This Row],[Engine Model Year:]],EF!$A$2:$G$27,4,FALSE))</f>
        <v/>
      </c>
      <c r="BH94" s="173" t="str">
        <f>IF(Table2[[#This Row],[Counter Number]]="","",Table2[[#This Row],[Annual Miles Traveled:]]*IF(Table2[[#This Row],[New Engine Fuel Type:]]="ULSD",VLOOKUP(Table2[[#This Row],[New Engine Model Year:]],EFTable[],4,FALSE),VLOOKUP(Table2[[#This Row],[New Engine Fuel Type:]],EFTable[],4,FALSE)))</f>
        <v/>
      </c>
      <c r="BI94" s="191" t="str">
        <f>IF(Table2[[#This Row],[Counter Number]]="","",Table2[[#This Row],[Old Bus PM2.5 Emissions (tons/yr)]]-Table2[[#This Row],[New Bus PM2.5 Emissions (tons/yr)]])</f>
        <v/>
      </c>
      <c r="BJ94" s="192" t="str">
        <f>IF(Table2[[#This Row],[Counter Number]]="","",Table2[[#This Row],[Reduction Bus PM2.5 Emissions (tons/yr)]]/Table2[[#This Row],[Old Bus PM2.5 Emissions (tons/yr)]])</f>
        <v/>
      </c>
      <c r="BK94" s="193" t="str">
        <f>IF(Table2[[#This Row],[Counter Number]]="","",Table2[[#This Row],[Reduction Bus PM2.5 Emissions (tons/yr)]]*Table2[[#This Row],[Remaining Life:]])</f>
        <v/>
      </c>
      <c r="BL94" s="194" t="str">
        <f>IF(Table2[[#This Row],[Counter Number]]="","",IF(Table2[[#This Row],[Lifetime PM2.5 Reduction (tons)]]=0,"NA",Table2[[#This Row],[Upgrade Cost Per Unit]]/Table2[[#This Row],[Lifetime PM2.5 Reduction (tons)]]))</f>
        <v/>
      </c>
      <c r="BM94" s="179" t="str">
        <f>IF(Table2[[#This Row],[Counter Number]]="","",Table2[[#This Row],[Annual Miles Traveled:]]*VLOOKUP(Table2[[#This Row],[Engine Model Year:]],EF!$A$2:$G$40,5,FALSE))</f>
        <v/>
      </c>
      <c r="BN94" s="173" t="str">
        <f>IF(Table2[[#This Row],[Counter Number]]="","",Table2[[#This Row],[Annual Miles Traveled:]]*IF(Table2[[#This Row],[New Engine Fuel Type:]]="ULSD",VLOOKUP(Table2[[#This Row],[New Engine Model Year:]],EFTable[],5,FALSE),VLOOKUP(Table2[[#This Row],[New Engine Fuel Type:]],EFTable[],5,FALSE)))</f>
        <v/>
      </c>
      <c r="BO94" s="190" t="str">
        <f>IF(Table2[[#This Row],[Counter Number]]="","",Table2[[#This Row],[Old Bus HC Emissions (tons/yr)]]-Table2[[#This Row],[New Bus HC Emissions (tons/yr)]])</f>
        <v/>
      </c>
      <c r="BP94" s="188" t="str">
        <f>IF(Table2[[#This Row],[Counter Number]]="","",Table2[[#This Row],[Reduction Bus HC Emissions (tons/yr)]]/Table2[[#This Row],[Old Bus HC Emissions (tons/yr)]])</f>
        <v/>
      </c>
      <c r="BQ94" s="193" t="str">
        <f>IF(Table2[[#This Row],[Counter Number]]="","",Table2[[#This Row],[Reduction Bus HC Emissions (tons/yr)]]*Table2[[#This Row],[Remaining Life:]])</f>
        <v/>
      </c>
      <c r="BR94" s="194" t="str">
        <f>IF(Table2[[#This Row],[Counter Number]]="","",IF(Table2[[#This Row],[Lifetime HC Reduction (tons)]]=0,"NA",Table2[[#This Row],[Upgrade Cost Per Unit]]/Table2[[#This Row],[Lifetime HC Reduction (tons)]]))</f>
        <v/>
      </c>
      <c r="BS94" s="191" t="str">
        <f>IF(Table2[[#This Row],[Counter Number]]="","",Table2[[#This Row],[Annual Miles Traveled:]]*VLOOKUP(Table2[[#This Row],[Engine Model Year:]],EF!$A$2:$G$27,6,FALSE))</f>
        <v/>
      </c>
      <c r="BT94" s="173" t="str">
        <f>IF(Table2[[#This Row],[Counter Number]]="","",Table2[[#This Row],[Annual Miles Traveled:]]*IF(Table2[[#This Row],[New Engine Fuel Type:]]="ULSD",VLOOKUP(Table2[[#This Row],[New Engine Model Year:]],EFTable[],6,FALSE),VLOOKUP(Table2[[#This Row],[New Engine Fuel Type:]],EFTable[],6,FALSE)))</f>
        <v/>
      </c>
      <c r="BU94" s="190" t="str">
        <f>IF(Table2[[#This Row],[Counter Number]]="","",Table2[[#This Row],[Old Bus CO Emissions (tons/yr)]]-Table2[[#This Row],[New Bus CO Emissions (tons/yr)]])</f>
        <v/>
      </c>
      <c r="BV94" s="188" t="str">
        <f>IF(Table2[[#This Row],[Counter Number]]="","",Table2[[#This Row],[Reduction Bus CO Emissions (tons/yr)]]/Table2[[#This Row],[Old Bus CO Emissions (tons/yr)]])</f>
        <v/>
      </c>
      <c r="BW94" s="193" t="str">
        <f>IF(Table2[[#This Row],[Counter Number]]="","",Table2[[#This Row],[Reduction Bus CO Emissions (tons/yr)]]*Table2[[#This Row],[Remaining Life:]])</f>
        <v/>
      </c>
      <c r="BX94" s="194" t="str">
        <f>IF(Table2[[#This Row],[Counter Number]]="","",IF(Table2[[#This Row],[Lifetime CO Reduction (tons)]]=0,"NA",Table2[[#This Row],[Upgrade Cost Per Unit]]/Table2[[#This Row],[Lifetime CO Reduction (tons)]]))</f>
        <v/>
      </c>
      <c r="BY94" s="180" t="str">
        <f>IF(Table2[[#This Row],[Counter Number]]="","",Table2[[#This Row],[Old ULSD Used (gal):]]*VLOOKUP(Table2[[#This Row],[Engine Model Year:]],EF!$A$2:$G$27,7,FALSE))</f>
        <v/>
      </c>
      <c r="BZ9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4" s="195" t="str">
        <f>IF(Table2[[#This Row],[Counter Number]]="","",Table2[[#This Row],[Old Bus CO2 Emissions (tons/yr)]]-Table2[[#This Row],[New Bus CO2 Emissions (tons/yr)]])</f>
        <v/>
      </c>
      <c r="CB94" s="188" t="str">
        <f>IF(Table2[[#This Row],[Counter Number]]="","",Table2[[#This Row],[Reduction Bus CO2 Emissions (tons/yr)]]/Table2[[#This Row],[Old Bus CO2 Emissions (tons/yr)]])</f>
        <v/>
      </c>
      <c r="CC94" s="195" t="str">
        <f>IF(Table2[[#This Row],[Counter Number]]="","",Table2[[#This Row],[Reduction Bus CO2 Emissions (tons/yr)]]*Table2[[#This Row],[Remaining Life:]])</f>
        <v/>
      </c>
      <c r="CD94" s="194" t="str">
        <f>IF(Table2[[#This Row],[Counter Number]]="","",IF(Table2[[#This Row],[Lifetime CO2 Reduction (tons)]]=0,"NA",Table2[[#This Row],[Upgrade Cost Per Unit]]/Table2[[#This Row],[Lifetime CO2 Reduction (tons)]]))</f>
        <v/>
      </c>
      <c r="CE94" s="182" t="str">
        <f>IF(Table2[[#This Row],[Counter Number]]="","",IF(Table2[[#This Row],[New ULSD Used (gal):]]="",Table2[[#This Row],[Old ULSD Used (gal):]],Table2[[#This Row],[Old ULSD Used (gal):]]-Table2[[#This Row],[New ULSD Used (gal):]]))</f>
        <v/>
      </c>
      <c r="CF94" s="196" t="str">
        <f>IF(Table2[[#This Row],[Counter Number]]="","",Table2[[#This Row],[Diesel Fuel Reduction (gal/yr)]]/Table2[[#This Row],[Old ULSD Used (gal):]])</f>
        <v/>
      </c>
      <c r="CG94" s="197" t="str">
        <f>IF(Table2[[#This Row],[Counter Number]]="","",Table2[[#This Row],[Diesel Fuel Reduction (gal/yr)]]*Table2[[#This Row],[Remaining Life:]])</f>
        <v/>
      </c>
    </row>
    <row r="95" spans="1:85">
      <c r="A95" s="184" t="str">
        <f>IF(A94&lt;Application!$D$24,A94+1,"")</f>
        <v/>
      </c>
      <c r="B95" s="60" t="str">
        <f>IF(Table2[[#This Row],[Counter Number]]="","",Application!$D$16)</f>
        <v/>
      </c>
      <c r="C95" s="60" t="str">
        <f>IF(Table2[[#This Row],[Counter Number]]="","",Application!$D$14)</f>
        <v/>
      </c>
      <c r="D95" s="60" t="str">
        <f>IF(Table2[[#This Row],[Counter Number]]="","",Table1[[#This Row],[Old Bus Number]])</f>
        <v/>
      </c>
      <c r="E95" s="60" t="str">
        <f>IF(Table2[[#This Row],[Counter Number]]="","",Application!$D$15)</f>
        <v/>
      </c>
      <c r="F95" s="60" t="str">
        <f>IF(Table2[[#This Row],[Counter Number]]="","","On Highway")</f>
        <v/>
      </c>
      <c r="G95" s="60" t="str">
        <f>IF(Table2[[#This Row],[Counter Number]]="","",I95)</f>
        <v/>
      </c>
      <c r="H95" s="60" t="str">
        <f>IF(Table2[[#This Row],[Counter Number]]="","","Georgia")</f>
        <v/>
      </c>
      <c r="I95" s="60" t="str">
        <f>IF(Table2[[#This Row],[Counter Number]]="","",Application!$D$16)</f>
        <v/>
      </c>
      <c r="J95" s="60" t="str">
        <f>IF(Table2[[#This Row],[Counter Number]]="","",Application!$D$21)</f>
        <v/>
      </c>
      <c r="K95" s="60" t="str">
        <f>IF(Table2[[#This Row],[Counter Number]]="","",Application!$J$21)</f>
        <v/>
      </c>
      <c r="L95" s="60" t="str">
        <f>IF(Table2[[#This Row],[Counter Number]]="","","School Bus")</f>
        <v/>
      </c>
      <c r="M95" s="60" t="str">
        <f>IF(Table2[[#This Row],[Counter Number]]="","","School Bus")</f>
        <v/>
      </c>
      <c r="N95" s="60" t="str">
        <f>IF(Table2[[#This Row],[Counter Number]]="","",1)</f>
        <v/>
      </c>
      <c r="O95" s="60" t="str">
        <f>IF(Table2[[#This Row],[Counter Number]]="","",Table1[[#This Row],[Vehicle Identification Number(s):]])</f>
        <v/>
      </c>
      <c r="P95" s="60" t="str">
        <f>IF(Table2[[#This Row],[Counter Number]]="","",Table1[[#This Row],[Old Bus Manufacturer:]])</f>
        <v/>
      </c>
      <c r="Q95" s="60" t="str">
        <f>IF(Table2[[#This Row],[Counter Number]]="","",Table1[[#This Row],[Vehicle Model:]])</f>
        <v/>
      </c>
      <c r="R95" s="165" t="str">
        <f>IF(Table2[[#This Row],[Counter Number]]="","",Table1[[#This Row],[Vehicle Model Year:]])</f>
        <v/>
      </c>
      <c r="S95" s="60" t="str">
        <f>IF(Table2[[#This Row],[Counter Number]]="","",Table1[[#This Row],[Engine Serial Number(s):]])</f>
        <v/>
      </c>
      <c r="T95" s="60" t="str">
        <f>IF(Table2[[#This Row],[Counter Number]]="","",Table1[[#This Row],[Engine Make:]])</f>
        <v/>
      </c>
      <c r="U95" s="60" t="str">
        <f>IF(Table2[[#This Row],[Counter Number]]="","",Table1[[#This Row],[Engine Model:]])</f>
        <v/>
      </c>
      <c r="V95" s="165" t="str">
        <f>IF(Table2[[#This Row],[Counter Number]]="","",Table1[[#This Row],[Engine Model Year:]])</f>
        <v/>
      </c>
      <c r="W95" s="60" t="str">
        <f>IF(Table2[[#This Row],[Counter Number]]="","","NA")</f>
        <v/>
      </c>
      <c r="X95" s="165" t="str">
        <f>IF(Table2[[#This Row],[Counter Number]]="","",Table1[[#This Row],[Engine Horsepower (HP):]])</f>
        <v/>
      </c>
      <c r="Y95" s="165" t="str">
        <f>IF(Table2[[#This Row],[Counter Number]]="","",Table1[[#This Row],[Engine Cylinder Displacement (L):]]&amp;" L")</f>
        <v/>
      </c>
      <c r="Z95" s="165" t="str">
        <f>IF(Table2[[#This Row],[Counter Number]]="","",Table1[[#This Row],[Engine Number of Cylinders:]])</f>
        <v/>
      </c>
      <c r="AA95" s="166" t="str">
        <f>IF(Table2[[#This Row],[Counter Number]]="","",Table1[[#This Row],[Engine Family Name:]])</f>
        <v/>
      </c>
      <c r="AB95" s="60" t="str">
        <f>IF(Table2[[#This Row],[Counter Number]]="","","ULSD")</f>
        <v/>
      </c>
      <c r="AC95" s="167" t="str">
        <f>IF(Table2[[#This Row],[Counter Number]]="","",Table2[[#This Row],[Annual Miles Traveled:]]/Table1[[#This Row],[Old Fuel (mpg)]])</f>
        <v/>
      </c>
      <c r="AD95" s="60" t="str">
        <f>IF(Table2[[#This Row],[Counter Number]]="","","NA")</f>
        <v/>
      </c>
      <c r="AE95" s="168" t="str">
        <f>IF(Table2[[#This Row],[Counter Number]]="","",Table1[[#This Row],[Annual Miles Traveled]])</f>
        <v/>
      </c>
      <c r="AF95" s="169" t="str">
        <f>IF(Table2[[#This Row],[Counter Number]]="","",Table1[[#This Row],[Annual Idling Hours:]])</f>
        <v/>
      </c>
      <c r="AG95" s="60" t="str">
        <f>IF(Table2[[#This Row],[Counter Number]]="","","NA")</f>
        <v/>
      </c>
      <c r="AH95" s="165" t="str">
        <f>IF(Table2[[#This Row],[Counter Number]]="","",IF(Application!$J$25="Set Policy",Table1[[#This Row],[Remaining Life (years)         Set Policy]],Table1[[#This Row],[Remaining Life (years)               Case-by-Case]]))</f>
        <v/>
      </c>
      <c r="AI95" s="165" t="str">
        <f>IF(Table2[[#This Row],[Counter Number]]="","",IF(Application!$J$25="Case-by-Case","NA",Table2[[#This Row],[Fiscal Year of EPA Funds Used:]]+Table2[[#This Row],[Remaining Life:]]))</f>
        <v/>
      </c>
      <c r="AJ95" s="165"/>
      <c r="AK95" s="170" t="str">
        <f>IF(Table2[[#This Row],[Counter Number]]="","",Application!$D$14+1)</f>
        <v/>
      </c>
      <c r="AL95" s="60" t="str">
        <f>IF(Table2[[#This Row],[Counter Number]]="","","Vehicle Replacement")</f>
        <v/>
      </c>
      <c r="AM9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5" s="171" t="str">
        <f>IF(Table2[[#This Row],[Counter Number]]="","",Table1[[#This Row],[Cost of New Bus:]])</f>
        <v/>
      </c>
      <c r="AO95" s="60" t="str">
        <f>IF(Table2[[#This Row],[Counter Number]]="","","NA")</f>
        <v/>
      </c>
      <c r="AP95" s="165" t="str">
        <f>IF(Table2[[#This Row],[Counter Number]]="","",Table1[[#This Row],[New Engine Model Year:]])</f>
        <v/>
      </c>
      <c r="AQ95" s="60" t="str">
        <f>IF(Table2[[#This Row],[Counter Number]]="","","NA")</f>
        <v/>
      </c>
      <c r="AR95" s="165" t="str">
        <f>IF(Table2[[#This Row],[Counter Number]]="","",Table1[[#This Row],[New Engine Horsepower (HP):]])</f>
        <v/>
      </c>
      <c r="AS95" s="60" t="str">
        <f>IF(Table2[[#This Row],[Counter Number]]="","","NA")</f>
        <v/>
      </c>
      <c r="AT95" s="165" t="str">
        <f>IF(Table2[[#This Row],[Counter Number]]="","",Table1[[#This Row],[New Engine Cylinder Displacement (L):]]&amp;" L")</f>
        <v/>
      </c>
      <c r="AU95" s="114" t="str">
        <f>IF(Table2[[#This Row],[Counter Number]]="","",Table1[[#This Row],[New Engine Number of Cylinders:]])</f>
        <v/>
      </c>
      <c r="AV95" s="60" t="str">
        <f>IF(Table2[[#This Row],[Counter Number]]="","",Table1[[#This Row],[New Engine Family Name:]])</f>
        <v/>
      </c>
      <c r="AW9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5" s="60" t="str">
        <f>IF(Table2[[#This Row],[Counter Number]]="","","NA")</f>
        <v/>
      </c>
      <c r="AY95" s="172" t="str">
        <f>IF(Table2[[#This Row],[Counter Number]]="","",IF(Table2[[#This Row],[New Engine Fuel Type:]]="ULSD",Table1[[#This Row],[Annual Miles Traveled]]/Table1[[#This Row],[New Fuel (mpg) if Diesel]],""))</f>
        <v/>
      </c>
      <c r="AZ95" s="60"/>
      <c r="BA95" s="173" t="str">
        <f>IF(Table2[[#This Row],[Counter Number]]="","",Table2[[#This Row],[Annual Miles Traveled:]]*VLOOKUP(Table2[[#This Row],[Engine Model Year:]],EFTable[],3,FALSE))</f>
        <v/>
      </c>
      <c r="BB95" s="173" t="str">
        <f>IF(Table2[[#This Row],[Counter Number]]="","",Table2[[#This Row],[Annual Miles Traveled:]]*IF(Table2[[#This Row],[New Engine Fuel Type:]]="ULSD",VLOOKUP(Table2[[#This Row],[New Engine Model Year:]],EFTable[],3,FALSE),VLOOKUP(Table2[[#This Row],[New Engine Fuel Type:]],EFTable[],3,FALSE)))</f>
        <v/>
      </c>
      <c r="BC95" s="187" t="str">
        <f>IF(Table2[[#This Row],[Counter Number]]="","",Table2[[#This Row],[Old Bus NOx Emissions (tons/yr)]]-Table2[[#This Row],[New Bus NOx Emissions (tons/yr)]])</f>
        <v/>
      </c>
      <c r="BD95" s="188" t="str">
        <f>IF(Table2[[#This Row],[Counter Number]]="","",Table2[[#This Row],[Reduction Bus NOx Emissions (tons/yr)]]/Table2[[#This Row],[Old Bus NOx Emissions (tons/yr)]])</f>
        <v/>
      </c>
      <c r="BE95" s="175" t="str">
        <f>IF(Table2[[#This Row],[Counter Number]]="","",Table2[[#This Row],[Reduction Bus NOx Emissions (tons/yr)]]*Table2[[#This Row],[Remaining Life:]])</f>
        <v/>
      </c>
      <c r="BF95" s="189" t="str">
        <f>IF(Table2[[#This Row],[Counter Number]]="","",IF(Table2[[#This Row],[Lifetime NOx Reduction (tons)]]=0,"NA",Table2[[#This Row],[Upgrade Cost Per Unit]]/Table2[[#This Row],[Lifetime NOx Reduction (tons)]]))</f>
        <v/>
      </c>
      <c r="BG95" s="190" t="str">
        <f>IF(Table2[[#This Row],[Counter Number]]="","",Table2[[#This Row],[Annual Miles Traveled:]]*VLOOKUP(Table2[[#This Row],[Engine Model Year:]],EF!$A$2:$G$27,4,FALSE))</f>
        <v/>
      </c>
      <c r="BH95" s="173" t="str">
        <f>IF(Table2[[#This Row],[Counter Number]]="","",Table2[[#This Row],[Annual Miles Traveled:]]*IF(Table2[[#This Row],[New Engine Fuel Type:]]="ULSD",VLOOKUP(Table2[[#This Row],[New Engine Model Year:]],EFTable[],4,FALSE),VLOOKUP(Table2[[#This Row],[New Engine Fuel Type:]],EFTable[],4,FALSE)))</f>
        <v/>
      </c>
      <c r="BI95" s="191" t="str">
        <f>IF(Table2[[#This Row],[Counter Number]]="","",Table2[[#This Row],[Old Bus PM2.5 Emissions (tons/yr)]]-Table2[[#This Row],[New Bus PM2.5 Emissions (tons/yr)]])</f>
        <v/>
      </c>
      <c r="BJ95" s="192" t="str">
        <f>IF(Table2[[#This Row],[Counter Number]]="","",Table2[[#This Row],[Reduction Bus PM2.5 Emissions (tons/yr)]]/Table2[[#This Row],[Old Bus PM2.5 Emissions (tons/yr)]])</f>
        <v/>
      </c>
      <c r="BK95" s="193" t="str">
        <f>IF(Table2[[#This Row],[Counter Number]]="","",Table2[[#This Row],[Reduction Bus PM2.5 Emissions (tons/yr)]]*Table2[[#This Row],[Remaining Life:]])</f>
        <v/>
      </c>
      <c r="BL95" s="194" t="str">
        <f>IF(Table2[[#This Row],[Counter Number]]="","",IF(Table2[[#This Row],[Lifetime PM2.5 Reduction (tons)]]=0,"NA",Table2[[#This Row],[Upgrade Cost Per Unit]]/Table2[[#This Row],[Lifetime PM2.5 Reduction (tons)]]))</f>
        <v/>
      </c>
      <c r="BM95" s="179" t="str">
        <f>IF(Table2[[#This Row],[Counter Number]]="","",Table2[[#This Row],[Annual Miles Traveled:]]*VLOOKUP(Table2[[#This Row],[Engine Model Year:]],EF!$A$2:$G$40,5,FALSE))</f>
        <v/>
      </c>
      <c r="BN95" s="173" t="str">
        <f>IF(Table2[[#This Row],[Counter Number]]="","",Table2[[#This Row],[Annual Miles Traveled:]]*IF(Table2[[#This Row],[New Engine Fuel Type:]]="ULSD",VLOOKUP(Table2[[#This Row],[New Engine Model Year:]],EFTable[],5,FALSE),VLOOKUP(Table2[[#This Row],[New Engine Fuel Type:]],EFTable[],5,FALSE)))</f>
        <v/>
      </c>
      <c r="BO95" s="190" t="str">
        <f>IF(Table2[[#This Row],[Counter Number]]="","",Table2[[#This Row],[Old Bus HC Emissions (tons/yr)]]-Table2[[#This Row],[New Bus HC Emissions (tons/yr)]])</f>
        <v/>
      </c>
      <c r="BP95" s="188" t="str">
        <f>IF(Table2[[#This Row],[Counter Number]]="","",Table2[[#This Row],[Reduction Bus HC Emissions (tons/yr)]]/Table2[[#This Row],[Old Bus HC Emissions (tons/yr)]])</f>
        <v/>
      </c>
      <c r="BQ95" s="193" t="str">
        <f>IF(Table2[[#This Row],[Counter Number]]="","",Table2[[#This Row],[Reduction Bus HC Emissions (tons/yr)]]*Table2[[#This Row],[Remaining Life:]])</f>
        <v/>
      </c>
      <c r="BR95" s="194" t="str">
        <f>IF(Table2[[#This Row],[Counter Number]]="","",IF(Table2[[#This Row],[Lifetime HC Reduction (tons)]]=0,"NA",Table2[[#This Row],[Upgrade Cost Per Unit]]/Table2[[#This Row],[Lifetime HC Reduction (tons)]]))</f>
        <v/>
      </c>
      <c r="BS95" s="191" t="str">
        <f>IF(Table2[[#This Row],[Counter Number]]="","",Table2[[#This Row],[Annual Miles Traveled:]]*VLOOKUP(Table2[[#This Row],[Engine Model Year:]],EF!$A$2:$G$27,6,FALSE))</f>
        <v/>
      </c>
      <c r="BT95" s="173" t="str">
        <f>IF(Table2[[#This Row],[Counter Number]]="","",Table2[[#This Row],[Annual Miles Traveled:]]*IF(Table2[[#This Row],[New Engine Fuel Type:]]="ULSD",VLOOKUP(Table2[[#This Row],[New Engine Model Year:]],EFTable[],6,FALSE),VLOOKUP(Table2[[#This Row],[New Engine Fuel Type:]],EFTable[],6,FALSE)))</f>
        <v/>
      </c>
      <c r="BU95" s="190" t="str">
        <f>IF(Table2[[#This Row],[Counter Number]]="","",Table2[[#This Row],[Old Bus CO Emissions (tons/yr)]]-Table2[[#This Row],[New Bus CO Emissions (tons/yr)]])</f>
        <v/>
      </c>
      <c r="BV95" s="188" t="str">
        <f>IF(Table2[[#This Row],[Counter Number]]="","",Table2[[#This Row],[Reduction Bus CO Emissions (tons/yr)]]/Table2[[#This Row],[Old Bus CO Emissions (tons/yr)]])</f>
        <v/>
      </c>
      <c r="BW95" s="193" t="str">
        <f>IF(Table2[[#This Row],[Counter Number]]="","",Table2[[#This Row],[Reduction Bus CO Emissions (tons/yr)]]*Table2[[#This Row],[Remaining Life:]])</f>
        <v/>
      </c>
      <c r="BX95" s="194" t="str">
        <f>IF(Table2[[#This Row],[Counter Number]]="","",IF(Table2[[#This Row],[Lifetime CO Reduction (tons)]]=0,"NA",Table2[[#This Row],[Upgrade Cost Per Unit]]/Table2[[#This Row],[Lifetime CO Reduction (tons)]]))</f>
        <v/>
      </c>
      <c r="BY95" s="180" t="str">
        <f>IF(Table2[[#This Row],[Counter Number]]="","",Table2[[#This Row],[Old ULSD Used (gal):]]*VLOOKUP(Table2[[#This Row],[Engine Model Year:]],EF!$A$2:$G$27,7,FALSE))</f>
        <v/>
      </c>
      <c r="BZ9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5" s="195" t="str">
        <f>IF(Table2[[#This Row],[Counter Number]]="","",Table2[[#This Row],[Old Bus CO2 Emissions (tons/yr)]]-Table2[[#This Row],[New Bus CO2 Emissions (tons/yr)]])</f>
        <v/>
      </c>
      <c r="CB95" s="188" t="str">
        <f>IF(Table2[[#This Row],[Counter Number]]="","",Table2[[#This Row],[Reduction Bus CO2 Emissions (tons/yr)]]/Table2[[#This Row],[Old Bus CO2 Emissions (tons/yr)]])</f>
        <v/>
      </c>
      <c r="CC95" s="195" t="str">
        <f>IF(Table2[[#This Row],[Counter Number]]="","",Table2[[#This Row],[Reduction Bus CO2 Emissions (tons/yr)]]*Table2[[#This Row],[Remaining Life:]])</f>
        <v/>
      </c>
      <c r="CD95" s="194" t="str">
        <f>IF(Table2[[#This Row],[Counter Number]]="","",IF(Table2[[#This Row],[Lifetime CO2 Reduction (tons)]]=0,"NA",Table2[[#This Row],[Upgrade Cost Per Unit]]/Table2[[#This Row],[Lifetime CO2 Reduction (tons)]]))</f>
        <v/>
      </c>
      <c r="CE95" s="182" t="str">
        <f>IF(Table2[[#This Row],[Counter Number]]="","",IF(Table2[[#This Row],[New ULSD Used (gal):]]="",Table2[[#This Row],[Old ULSD Used (gal):]],Table2[[#This Row],[Old ULSD Used (gal):]]-Table2[[#This Row],[New ULSD Used (gal):]]))</f>
        <v/>
      </c>
      <c r="CF95" s="196" t="str">
        <f>IF(Table2[[#This Row],[Counter Number]]="","",Table2[[#This Row],[Diesel Fuel Reduction (gal/yr)]]/Table2[[#This Row],[Old ULSD Used (gal):]])</f>
        <v/>
      </c>
      <c r="CG95" s="197" t="str">
        <f>IF(Table2[[#This Row],[Counter Number]]="","",Table2[[#This Row],[Diesel Fuel Reduction (gal/yr)]]*Table2[[#This Row],[Remaining Life:]])</f>
        <v/>
      </c>
    </row>
    <row r="96" spans="1:85">
      <c r="A96" s="184" t="str">
        <f>IF(A95&lt;Application!$D$24,A95+1,"")</f>
        <v/>
      </c>
      <c r="B96" s="60" t="str">
        <f>IF(Table2[[#This Row],[Counter Number]]="","",Application!$D$16)</f>
        <v/>
      </c>
      <c r="C96" s="60" t="str">
        <f>IF(Table2[[#This Row],[Counter Number]]="","",Application!$D$14)</f>
        <v/>
      </c>
      <c r="D96" s="60" t="str">
        <f>IF(Table2[[#This Row],[Counter Number]]="","",Table1[[#This Row],[Old Bus Number]])</f>
        <v/>
      </c>
      <c r="E96" s="60" t="str">
        <f>IF(Table2[[#This Row],[Counter Number]]="","",Application!$D$15)</f>
        <v/>
      </c>
      <c r="F96" s="60" t="str">
        <f>IF(Table2[[#This Row],[Counter Number]]="","","On Highway")</f>
        <v/>
      </c>
      <c r="G96" s="60" t="str">
        <f>IF(Table2[[#This Row],[Counter Number]]="","",I96)</f>
        <v/>
      </c>
      <c r="H96" s="60" t="str">
        <f>IF(Table2[[#This Row],[Counter Number]]="","","Georgia")</f>
        <v/>
      </c>
      <c r="I96" s="60" t="str">
        <f>IF(Table2[[#This Row],[Counter Number]]="","",Application!$D$16)</f>
        <v/>
      </c>
      <c r="J96" s="60" t="str">
        <f>IF(Table2[[#This Row],[Counter Number]]="","",Application!$D$21)</f>
        <v/>
      </c>
      <c r="K96" s="60" t="str">
        <f>IF(Table2[[#This Row],[Counter Number]]="","",Application!$J$21)</f>
        <v/>
      </c>
      <c r="L96" s="60" t="str">
        <f>IF(Table2[[#This Row],[Counter Number]]="","","School Bus")</f>
        <v/>
      </c>
      <c r="M96" s="60" t="str">
        <f>IF(Table2[[#This Row],[Counter Number]]="","","School Bus")</f>
        <v/>
      </c>
      <c r="N96" s="60" t="str">
        <f>IF(Table2[[#This Row],[Counter Number]]="","",1)</f>
        <v/>
      </c>
      <c r="O96" s="60" t="str">
        <f>IF(Table2[[#This Row],[Counter Number]]="","",Table1[[#This Row],[Vehicle Identification Number(s):]])</f>
        <v/>
      </c>
      <c r="P96" s="60" t="str">
        <f>IF(Table2[[#This Row],[Counter Number]]="","",Table1[[#This Row],[Old Bus Manufacturer:]])</f>
        <v/>
      </c>
      <c r="Q96" s="60" t="str">
        <f>IF(Table2[[#This Row],[Counter Number]]="","",Table1[[#This Row],[Vehicle Model:]])</f>
        <v/>
      </c>
      <c r="R96" s="165" t="str">
        <f>IF(Table2[[#This Row],[Counter Number]]="","",Table1[[#This Row],[Vehicle Model Year:]])</f>
        <v/>
      </c>
      <c r="S96" s="60" t="str">
        <f>IF(Table2[[#This Row],[Counter Number]]="","",Table1[[#This Row],[Engine Serial Number(s):]])</f>
        <v/>
      </c>
      <c r="T96" s="60" t="str">
        <f>IF(Table2[[#This Row],[Counter Number]]="","",Table1[[#This Row],[Engine Make:]])</f>
        <v/>
      </c>
      <c r="U96" s="60" t="str">
        <f>IF(Table2[[#This Row],[Counter Number]]="","",Table1[[#This Row],[Engine Model:]])</f>
        <v/>
      </c>
      <c r="V96" s="165" t="str">
        <f>IF(Table2[[#This Row],[Counter Number]]="","",Table1[[#This Row],[Engine Model Year:]])</f>
        <v/>
      </c>
      <c r="W96" s="60" t="str">
        <f>IF(Table2[[#This Row],[Counter Number]]="","","NA")</f>
        <v/>
      </c>
      <c r="X96" s="165" t="str">
        <f>IF(Table2[[#This Row],[Counter Number]]="","",Table1[[#This Row],[Engine Horsepower (HP):]])</f>
        <v/>
      </c>
      <c r="Y96" s="165" t="str">
        <f>IF(Table2[[#This Row],[Counter Number]]="","",Table1[[#This Row],[Engine Cylinder Displacement (L):]]&amp;" L")</f>
        <v/>
      </c>
      <c r="Z96" s="165" t="str">
        <f>IF(Table2[[#This Row],[Counter Number]]="","",Table1[[#This Row],[Engine Number of Cylinders:]])</f>
        <v/>
      </c>
      <c r="AA96" s="166" t="str">
        <f>IF(Table2[[#This Row],[Counter Number]]="","",Table1[[#This Row],[Engine Family Name:]])</f>
        <v/>
      </c>
      <c r="AB96" s="60" t="str">
        <f>IF(Table2[[#This Row],[Counter Number]]="","","ULSD")</f>
        <v/>
      </c>
      <c r="AC96" s="167" t="str">
        <f>IF(Table2[[#This Row],[Counter Number]]="","",Table2[[#This Row],[Annual Miles Traveled:]]/Table1[[#This Row],[Old Fuel (mpg)]])</f>
        <v/>
      </c>
      <c r="AD96" s="60" t="str">
        <f>IF(Table2[[#This Row],[Counter Number]]="","","NA")</f>
        <v/>
      </c>
      <c r="AE96" s="168" t="str">
        <f>IF(Table2[[#This Row],[Counter Number]]="","",Table1[[#This Row],[Annual Miles Traveled]])</f>
        <v/>
      </c>
      <c r="AF96" s="169" t="str">
        <f>IF(Table2[[#This Row],[Counter Number]]="","",Table1[[#This Row],[Annual Idling Hours:]])</f>
        <v/>
      </c>
      <c r="AG96" s="60" t="str">
        <f>IF(Table2[[#This Row],[Counter Number]]="","","NA")</f>
        <v/>
      </c>
      <c r="AH96" s="165" t="str">
        <f>IF(Table2[[#This Row],[Counter Number]]="","",IF(Application!$J$25="Set Policy",Table1[[#This Row],[Remaining Life (years)         Set Policy]],Table1[[#This Row],[Remaining Life (years)               Case-by-Case]]))</f>
        <v/>
      </c>
      <c r="AI96" s="165" t="str">
        <f>IF(Table2[[#This Row],[Counter Number]]="","",IF(Application!$J$25="Case-by-Case","NA",Table2[[#This Row],[Fiscal Year of EPA Funds Used:]]+Table2[[#This Row],[Remaining Life:]]))</f>
        <v/>
      </c>
      <c r="AJ96" s="165"/>
      <c r="AK96" s="170" t="str">
        <f>IF(Table2[[#This Row],[Counter Number]]="","",Application!$D$14+1)</f>
        <v/>
      </c>
      <c r="AL96" s="60" t="str">
        <f>IF(Table2[[#This Row],[Counter Number]]="","","Vehicle Replacement")</f>
        <v/>
      </c>
      <c r="AM9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6" s="171" t="str">
        <f>IF(Table2[[#This Row],[Counter Number]]="","",Table1[[#This Row],[Cost of New Bus:]])</f>
        <v/>
      </c>
      <c r="AO96" s="60" t="str">
        <f>IF(Table2[[#This Row],[Counter Number]]="","","NA")</f>
        <v/>
      </c>
      <c r="AP96" s="165" t="str">
        <f>IF(Table2[[#This Row],[Counter Number]]="","",Table1[[#This Row],[New Engine Model Year:]])</f>
        <v/>
      </c>
      <c r="AQ96" s="60" t="str">
        <f>IF(Table2[[#This Row],[Counter Number]]="","","NA")</f>
        <v/>
      </c>
      <c r="AR96" s="165" t="str">
        <f>IF(Table2[[#This Row],[Counter Number]]="","",Table1[[#This Row],[New Engine Horsepower (HP):]])</f>
        <v/>
      </c>
      <c r="AS96" s="60" t="str">
        <f>IF(Table2[[#This Row],[Counter Number]]="","","NA")</f>
        <v/>
      </c>
      <c r="AT96" s="165" t="str">
        <f>IF(Table2[[#This Row],[Counter Number]]="","",Table1[[#This Row],[New Engine Cylinder Displacement (L):]]&amp;" L")</f>
        <v/>
      </c>
      <c r="AU96" s="114" t="str">
        <f>IF(Table2[[#This Row],[Counter Number]]="","",Table1[[#This Row],[New Engine Number of Cylinders:]])</f>
        <v/>
      </c>
      <c r="AV96" s="60" t="str">
        <f>IF(Table2[[#This Row],[Counter Number]]="","",Table1[[#This Row],[New Engine Family Name:]])</f>
        <v/>
      </c>
      <c r="AW9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6" s="60" t="str">
        <f>IF(Table2[[#This Row],[Counter Number]]="","","NA")</f>
        <v/>
      </c>
      <c r="AY96" s="172" t="str">
        <f>IF(Table2[[#This Row],[Counter Number]]="","",IF(Table2[[#This Row],[New Engine Fuel Type:]]="ULSD",Table1[[#This Row],[Annual Miles Traveled]]/Table1[[#This Row],[New Fuel (mpg) if Diesel]],""))</f>
        <v/>
      </c>
      <c r="AZ96" s="60"/>
      <c r="BA96" s="173" t="str">
        <f>IF(Table2[[#This Row],[Counter Number]]="","",Table2[[#This Row],[Annual Miles Traveled:]]*VLOOKUP(Table2[[#This Row],[Engine Model Year:]],EFTable[],3,FALSE))</f>
        <v/>
      </c>
      <c r="BB96" s="173" t="str">
        <f>IF(Table2[[#This Row],[Counter Number]]="","",Table2[[#This Row],[Annual Miles Traveled:]]*IF(Table2[[#This Row],[New Engine Fuel Type:]]="ULSD",VLOOKUP(Table2[[#This Row],[New Engine Model Year:]],EFTable[],3,FALSE),VLOOKUP(Table2[[#This Row],[New Engine Fuel Type:]],EFTable[],3,FALSE)))</f>
        <v/>
      </c>
      <c r="BC96" s="187" t="str">
        <f>IF(Table2[[#This Row],[Counter Number]]="","",Table2[[#This Row],[Old Bus NOx Emissions (tons/yr)]]-Table2[[#This Row],[New Bus NOx Emissions (tons/yr)]])</f>
        <v/>
      </c>
      <c r="BD96" s="188" t="str">
        <f>IF(Table2[[#This Row],[Counter Number]]="","",Table2[[#This Row],[Reduction Bus NOx Emissions (tons/yr)]]/Table2[[#This Row],[Old Bus NOx Emissions (tons/yr)]])</f>
        <v/>
      </c>
      <c r="BE96" s="175" t="str">
        <f>IF(Table2[[#This Row],[Counter Number]]="","",Table2[[#This Row],[Reduction Bus NOx Emissions (tons/yr)]]*Table2[[#This Row],[Remaining Life:]])</f>
        <v/>
      </c>
      <c r="BF96" s="189" t="str">
        <f>IF(Table2[[#This Row],[Counter Number]]="","",IF(Table2[[#This Row],[Lifetime NOx Reduction (tons)]]=0,"NA",Table2[[#This Row],[Upgrade Cost Per Unit]]/Table2[[#This Row],[Lifetime NOx Reduction (tons)]]))</f>
        <v/>
      </c>
      <c r="BG96" s="190" t="str">
        <f>IF(Table2[[#This Row],[Counter Number]]="","",Table2[[#This Row],[Annual Miles Traveled:]]*VLOOKUP(Table2[[#This Row],[Engine Model Year:]],EF!$A$2:$G$27,4,FALSE))</f>
        <v/>
      </c>
      <c r="BH96" s="173" t="str">
        <f>IF(Table2[[#This Row],[Counter Number]]="","",Table2[[#This Row],[Annual Miles Traveled:]]*IF(Table2[[#This Row],[New Engine Fuel Type:]]="ULSD",VLOOKUP(Table2[[#This Row],[New Engine Model Year:]],EFTable[],4,FALSE),VLOOKUP(Table2[[#This Row],[New Engine Fuel Type:]],EFTable[],4,FALSE)))</f>
        <v/>
      </c>
      <c r="BI96" s="191" t="str">
        <f>IF(Table2[[#This Row],[Counter Number]]="","",Table2[[#This Row],[Old Bus PM2.5 Emissions (tons/yr)]]-Table2[[#This Row],[New Bus PM2.5 Emissions (tons/yr)]])</f>
        <v/>
      </c>
      <c r="BJ96" s="192" t="str">
        <f>IF(Table2[[#This Row],[Counter Number]]="","",Table2[[#This Row],[Reduction Bus PM2.5 Emissions (tons/yr)]]/Table2[[#This Row],[Old Bus PM2.5 Emissions (tons/yr)]])</f>
        <v/>
      </c>
      <c r="BK96" s="193" t="str">
        <f>IF(Table2[[#This Row],[Counter Number]]="","",Table2[[#This Row],[Reduction Bus PM2.5 Emissions (tons/yr)]]*Table2[[#This Row],[Remaining Life:]])</f>
        <v/>
      </c>
      <c r="BL96" s="194" t="str">
        <f>IF(Table2[[#This Row],[Counter Number]]="","",IF(Table2[[#This Row],[Lifetime PM2.5 Reduction (tons)]]=0,"NA",Table2[[#This Row],[Upgrade Cost Per Unit]]/Table2[[#This Row],[Lifetime PM2.5 Reduction (tons)]]))</f>
        <v/>
      </c>
      <c r="BM96" s="179" t="str">
        <f>IF(Table2[[#This Row],[Counter Number]]="","",Table2[[#This Row],[Annual Miles Traveled:]]*VLOOKUP(Table2[[#This Row],[Engine Model Year:]],EF!$A$2:$G$40,5,FALSE))</f>
        <v/>
      </c>
      <c r="BN96" s="173" t="str">
        <f>IF(Table2[[#This Row],[Counter Number]]="","",Table2[[#This Row],[Annual Miles Traveled:]]*IF(Table2[[#This Row],[New Engine Fuel Type:]]="ULSD",VLOOKUP(Table2[[#This Row],[New Engine Model Year:]],EFTable[],5,FALSE),VLOOKUP(Table2[[#This Row],[New Engine Fuel Type:]],EFTable[],5,FALSE)))</f>
        <v/>
      </c>
      <c r="BO96" s="190" t="str">
        <f>IF(Table2[[#This Row],[Counter Number]]="","",Table2[[#This Row],[Old Bus HC Emissions (tons/yr)]]-Table2[[#This Row],[New Bus HC Emissions (tons/yr)]])</f>
        <v/>
      </c>
      <c r="BP96" s="188" t="str">
        <f>IF(Table2[[#This Row],[Counter Number]]="","",Table2[[#This Row],[Reduction Bus HC Emissions (tons/yr)]]/Table2[[#This Row],[Old Bus HC Emissions (tons/yr)]])</f>
        <v/>
      </c>
      <c r="BQ96" s="193" t="str">
        <f>IF(Table2[[#This Row],[Counter Number]]="","",Table2[[#This Row],[Reduction Bus HC Emissions (tons/yr)]]*Table2[[#This Row],[Remaining Life:]])</f>
        <v/>
      </c>
      <c r="BR96" s="194" t="str">
        <f>IF(Table2[[#This Row],[Counter Number]]="","",IF(Table2[[#This Row],[Lifetime HC Reduction (tons)]]=0,"NA",Table2[[#This Row],[Upgrade Cost Per Unit]]/Table2[[#This Row],[Lifetime HC Reduction (tons)]]))</f>
        <v/>
      </c>
      <c r="BS96" s="191" t="str">
        <f>IF(Table2[[#This Row],[Counter Number]]="","",Table2[[#This Row],[Annual Miles Traveled:]]*VLOOKUP(Table2[[#This Row],[Engine Model Year:]],EF!$A$2:$G$27,6,FALSE))</f>
        <v/>
      </c>
      <c r="BT96" s="173" t="str">
        <f>IF(Table2[[#This Row],[Counter Number]]="","",Table2[[#This Row],[Annual Miles Traveled:]]*IF(Table2[[#This Row],[New Engine Fuel Type:]]="ULSD",VLOOKUP(Table2[[#This Row],[New Engine Model Year:]],EFTable[],6,FALSE),VLOOKUP(Table2[[#This Row],[New Engine Fuel Type:]],EFTable[],6,FALSE)))</f>
        <v/>
      </c>
      <c r="BU96" s="190" t="str">
        <f>IF(Table2[[#This Row],[Counter Number]]="","",Table2[[#This Row],[Old Bus CO Emissions (tons/yr)]]-Table2[[#This Row],[New Bus CO Emissions (tons/yr)]])</f>
        <v/>
      </c>
      <c r="BV96" s="188" t="str">
        <f>IF(Table2[[#This Row],[Counter Number]]="","",Table2[[#This Row],[Reduction Bus CO Emissions (tons/yr)]]/Table2[[#This Row],[Old Bus CO Emissions (tons/yr)]])</f>
        <v/>
      </c>
      <c r="BW96" s="193" t="str">
        <f>IF(Table2[[#This Row],[Counter Number]]="","",Table2[[#This Row],[Reduction Bus CO Emissions (tons/yr)]]*Table2[[#This Row],[Remaining Life:]])</f>
        <v/>
      </c>
      <c r="BX96" s="194" t="str">
        <f>IF(Table2[[#This Row],[Counter Number]]="","",IF(Table2[[#This Row],[Lifetime CO Reduction (tons)]]=0,"NA",Table2[[#This Row],[Upgrade Cost Per Unit]]/Table2[[#This Row],[Lifetime CO Reduction (tons)]]))</f>
        <v/>
      </c>
      <c r="BY96" s="180" t="str">
        <f>IF(Table2[[#This Row],[Counter Number]]="","",Table2[[#This Row],[Old ULSD Used (gal):]]*VLOOKUP(Table2[[#This Row],[Engine Model Year:]],EF!$A$2:$G$27,7,FALSE))</f>
        <v/>
      </c>
      <c r="BZ9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6" s="195" t="str">
        <f>IF(Table2[[#This Row],[Counter Number]]="","",Table2[[#This Row],[Old Bus CO2 Emissions (tons/yr)]]-Table2[[#This Row],[New Bus CO2 Emissions (tons/yr)]])</f>
        <v/>
      </c>
      <c r="CB96" s="188" t="str">
        <f>IF(Table2[[#This Row],[Counter Number]]="","",Table2[[#This Row],[Reduction Bus CO2 Emissions (tons/yr)]]/Table2[[#This Row],[Old Bus CO2 Emissions (tons/yr)]])</f>
        <v/>
      </c>
      <c r="CC96" s="195" t="str">
        <f>IF(Table2[[#This Row],[Counter Number]]="","",Table2[[#This Row],[Reduction Bus CO2 Emissions (tons/yr)]]*Table2[[#This Row],[Remaining Life:]])</f>
        <v/>
      </c>
      <c r="CD96" s="194" t="str">
        <f>IF(Table2[[#This Row],[Counter Number]]="","",IF(Table2[[#This Row],[Lifetime CO2 Reduction (tons)]]=0,"NA",Table2[[#This Row],[Upgrade Cost Per Unit]]/Table2[[#This Row],[Lifetime CO2 Reduction (tons)]]))</f>
        <v/>
      </c>
      <c r="CE96" s="182" t="str">
        <f>IF(Table2[[#This Row],[Counter Number]]="","",IF(Table2[[#This Row],[New ULSD Used (gal):]]="",Table2[[#This Row],[Old ULSD Used (gal):]],Table2[[#This Row],[Old ULSD Used (gal):]]-Table2[[#This Row],[New ULSD Used (gal):]]))</f>
        <v/>
      </c>
      <c r="CF96" s="196" t="str">
        <f>IF(Table2[[#This Row],[Counter Number]]="","",Table2[[#This Row],[Diesel Fuel Reduction (gal/yr)]]/Table2[[#This Row],[Old ULSD Used (gal):]])</f>
        <v/>
      </c>
      <c r="CG96" s="197" t="str">
        <f>IF(Table2[[#This Row],[Counter Number]]="","",Table2[[#This Row],[Diesel Fuel Reduction (gal/yr)]]*Table2[[#This Row],[Remaining Life:]])</f>
        <v/>
      </c>
    </row>
    <row r="97" spans="1:85">
      <c r="A97" s="184" t="str">
        <f>IF(A96&lt;Application!$D$24,A96+1,"")</f>
        <v/>
      </c>
      <c r="B97" s="60" t="str">
        <f>IF(Table2[[#This Row],[Counter Number]]="","",Application!$D$16)</f>
        <v/>
      </c>
      <c r="C97" s="60" t="str">
        <f>IF(Table2[[#This Row],[Counter Number]]="","",Application!$D$14)</f>
        <v/>
      </c>
      <c r="D97" s="60" t="str">
        <f>IF(Table2[[#This Row],[Counter Number]]="","",Table1[[#This Row],[Old Bus Number]])</f>
        <v/>
      </c>
      <c r="E97" s="60" t="str">
        <f>IF(Table2[[#This Row],[Counter Number]]="","",Application!$D$15)</f>
        <v/>
      </c>
      <c r="F97" s="60" t="str">
        <f>IF(Table2[[#This Row],[Counter Number]]="","","On Highway")</f>
        <v/>
      </c>
      <c r="G97" s="60" t="str">
        <f>IF(Table2[[#This Row],[Counter Number]]="","",I97)</f>
        <v/>
      </c>
      <c r="H97" s="60" t="str">
        <f>IF(Table2[[#This Row],[Counter Number]]="","","Georgia")</f>
        <v/>
      </c>
      <c r="I97" s="60" t="str">
        <f>IF(Table2[[#This Row],[Counter Number]]="","",Application!$D$16)</f>
        <v/>
      </c>
      <c r="J97" s="60" t="str">
        <f>IF(Table2[[#This Row],[Counter Number]]="","",Application!$D$21)</f>
        <v/>
      </c>
      <c r="K97" s="60" t="str">
        <f>IF(Table2[[#This Row],[Counter Number]]="","",Application!$J$21)</f>
        <v/>
      </c>
      <c r="L97" s="60" t="str">
        <f>IF(Table2[[#This Row],[Counter Number]]="","","School Bus")</f>
        <v/>
      </c>
      <c r="M97" s="60" t="str">
        <f>IF(Table2[[#This Row],[Counter Number]]="","","School Bus")</f>
        <v/>
      </c>
      <c r="N97" s="60" t="str">
        <f>IF(Table2[[#This Row],[Counter Number]]="","",1)</f>
        <v/>
      </c>
      <c r="O97" s="60" t="str">
        <f>IF(Table2[[#This Row],[Counter Number]]="","",Table1[[#This Row],[Vehicle Identification Number(s):]])</f>
        <v/>
      </c>
      <c r="P97" s="60" t="str">
        <f>IF(Table2[[#This Row],[Counter Number]]="","",Table1[[#This Row],[Old Bus Manufacturer:]])</f>
        <v/>
      </c>
      <c r="Q97" s="60" t="str">
        <f>IF(Table2[[#This Row],[Counter Number]]="","",Table1[[#This Row],[Vehicle Model:]])</f>
        <v/>
      </c>
      <c r="R97" s="165" t="str">
        <f>IF(Table2[[#This Row],[Counter Number]]="","",Table1[[#This Row],[Vehicle Model Year:]])</f>
        <v/>
      </c>
      <c r="S97" s="60" t="str">
        <f>IF(Table2[[#This Row],[Counter Number]]="","",Table1[[#This Row],[Engine Serial Number(s):]])</f>
        <v/>
      </c>
      <c r="T97" s="60" t="str">
        <f>IF(Table2[[#This Row],[Counter Number]]="","",Table1[[#This Row],[Engine Make:]])</f>
        <v/>
      </c>
      <c r="U97" s="60" t="str">
        <f>IF(Table2[[#This Row],[Counter Number]]="","",Table1[[#This Row],[Engine Model:]])</f>
        <v/>
      </c>
      <c r="V97" s="165" t="str">
        <f>IF(Table2[[#This Row],[Counter Number]]="","",Table1[[#This Row],[Engine Model Year:]])</f>
        <v/>
      </c>
      <c r="W97" s="60" t="str">
        <f>IF(Table2[[#This Row],[Counter Number]]="","","NA")</f>
        <v/>
      </c>
      <c r="X97" s="165" t="str">
        <f>IF(Table2[[#This Row],[Counter Number]]="","",Table1[[#This Row],[Engine Horsepower (HP):]])</f>
        <v/>
      </c>
      <c r="Y97" s="165" t="str">
        <f>IF(Table2[[#This Row],[Counter Number]]="","",Table1[[#This Row],[Engine Cylinder Displacement (L):]]&amp;" L")</f>
        <v/>
      </c>
      <c r="Z97" s="165" t="str">
        <f>IF(Table2[[#This Row],[Counter Number]]="","",Table1[[#This Row],[Engine Number of Cylinders:]])</f>
        <v/>
      </c>
      <c r="AA97" s="166" t="str">
        <f>IF(Table2[[#This Row],[Counter Number]]="","",Table1[[#This Row],[Engine Family Name:]])</f>
        <v/>
      </c>
      <c r="AB97" s="60" t="str">
        <f>IF(Table2[[#This Row],[Counter Number]]="","","ULSD")</f>
        <v/>
      </c>
      <c r="AC97" s="167" t="str">
        <f>IF(Table2[[#This Row],[Counter Number]]="","",Table2[[#This Row],[Annual Miles Traveled:]]/Table1[[#This Row],[Old Fuel (mpg)]])</f>
        <v/>
      </c>
      <c r="AD97" s="60" t="str">
        <f>IF(Table2[[#This Row],[Counter Number]]="","","NA")</f>
        <v/>
      </c>
      <c r="AE97" s="168" t="str">
        <f>IF(Table2[[#This Row],[Counter Number]]="","",Table1[[#This Row],[Annual Miles Traveled]])</f>
        <v/>
      </c>
      <c r="AF97" s="169" t="str">
        <f>IF(Table2[[#This Row],[Counter Number]]="","",Table1[[#This Row],[Annual Idling Hours:]])</f>
        <v/>
      </c>
      <c r="AG97" s="60" t="str">
        <f>IF(Table2[[#This Row],[Counter Number]]="","","NA")</f>
        <v/>
      </c>
      <c r="AH97" s="165" t="str">
        <f>IF(Table2[[#This Row],[Counter Number]]="","",IF(Application!$J$25="Set Policy",Table1[[#This Row],[Remaining Life (years)         Set Policy]],Table1[[#This Row],[Remaining Life (years)               Case-by-Case]]))</f>
        <v/>
      </c>
      <c r="AI97" s="165" t="str">
        <f>IF(Table2[[#This Row],[Counter Number]]="","",IF(Application!$J$25="Case-by-Case","NA",Table2[[#This Row],[Fiscal Year of EPA Funds Used:]]+Table2[[#This Row],[Remaining Life:]]))</f>
        <v/>
      </c>
      <c r="AJ97" s="165"/>
      <c r="AK97" s="170" t="str">
        <f>IF(Table2[[#This Row],[Counter Number]]="","",Application!$D$14+1)</f>
        <v/>
      </c>
      <c r="AL97" s="60" t="str">
        <f>IF(Table2[[#This Row],[Counter Number]]="","","Vehicle Replacement")</f>
        <v/>
      </c>
      <c r="AM9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7" s="171" t="str">
        <f>IF(Table2[[#This Row],[Counter Number]]="","",Table1[[#This Row],[Cost of New Bus:]])</f>
        <v/>
      </c>
      <c r="AO97" s="60" t="str">
        <f>IF(Table2[[#This Row],[Counter Number]]="","","NA")</f>
        <v/>
      </c>
      <c r="AP97" s="165" t="str">
        <f>IF(Table2[[#This Row],[Counter Number]]="","",Table1[[#This Row],[New Engine Model Year:]])</f>
        <v/>
      </c>
      <c r="AQ97" s="60" t="str">
        <f>IF(Table2[[#This Row],[Counter Number]]="","","NA")</f>
        <v/>
      </c>
      <c r="AR97" s="165" t="str">
        <f>IF(Table2[[#This Row],[Counter Number]]="","",Table1[[#This Row],[New Engine Horsepower (HP):]])</f>
        <v/>
      </c>
      <c r="AS97" s="60" t="str">
        <f>IF(Table2[[#This Row],[Counter Number]]="","","NA")</f>
        <v/>
      </c>
      <c r="AT97" s="165" t="str">
        <f>IF(Table2[[#This Row],[Counter Number]]="","",Table1[[#This Row],[New Engine Cylinder Displacement (L):]]&amp;" L")</f>
        <v/>
      </c>
      <c r="AU97" s="114" t="str">
        <f>IF(Table2[[#This Row],[Counter Number]]="","",Table1[[#This Row],[New Engine Number of Cylinders:]])</f>
        <v/>
      </c>
      <c r="AV97" s="60" t="str">
        <f>IF(Table2[[#This Row],[Counter Number]]="","",Table1[[#This Row],[New Engine Family Name:]])</f>
        <v/>
      </c>
      <c r="AW9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7" s="60" t="str">
        <f>IF(Table2[[#This Row],[Counter Number]]="","","NA")</f>
        <v/>
      </c>
      <c r="AY97" s="172" t="str">
        <f>IF(Table2[[#This Row],[Counter Number]]="","",IF(Table2[[#This Row],[New Engine Fuel Type:]]="ULSD",Table1[[#This Row],[Annual Miles Traveled]]/Table1[[#This Row],[New Fuel (mpg) if Diesel]],""))</f>
        <v/>
      </c>
      <c r="AZ97" s="60"/>
      <c r="BA97" s="173" t="str">
        <f>IF(Table2[[#This Row],[Counter Number]]="","",Table2[[#This Row],[Annual Miles Traveled:]]*VLOOKUP(Table2[[#This Row],[Engine Model Year:]],EFTable[],3,FALSE))</f>
        <v/>
      </c>
      <c r="BB97" s="173" t="str">
        <f>IF(Table2[[#This Row],[Counter Number]]="","",Table2[[#This Row],[Annual Miles Traveled:]]*IF(Table2[[#This Row],[New Engine Fuel Type:]]="ULSD",VLOOKUP(Table2[[#This Row],[New Engine Model Year:]],EFTable[],3,FALSE),VLOOKUP(Table2[[#This Row],[New Engine Fuel Type:]],EFTable[],3,FALSE)))</f>
        <v/>
      </c>
      <c r="BC97" s="187" t="str">
        <f>IF(Table2[[#This Row],[Counter Number]]="","",Table2[[#This Row],[Old Bus NOx Emissions (tons/yr)]]-Table2[[#This Row],[New Bus NOx Emissions (tons/yr)]])</f>
        <v/>
      </c>
      <c r="BD97" s="188" t="str">
        <f>IF(Table2[[#This Row],[Counter Number]]="","",Table2[[#This Row],[Reduction Bus NOx Emissions (tons/yr)]]/Table2[[#This Row],[Old Bus NOx Emissions (tons/yr)]])</f>
        <v/>
      </c>
      <c r="BE97" s="175" t="str">
        <f>IF(Table2[[#This Row],[Counter Number]]="","",Table2[[#This Row],[Reduction Bus NOx Emissions (tons/yr)]]*Table2[[#This Row],[Remaining Life:]])</f>
        <v/>
      </c>
      <c r="BF97" s="189" t="str">
        <f>IF(Table2[[#This Row],[Counter Number]]="","",IF(Table2[[#This Row],[Lifetime NOx Reduction (tons)]]=0,"NA",Table2[[#This Row],[Upgrade Cost Per Unit]]/Table2[[#This Row],[Lifetime NOx Reduction (tons)]]))</f>
        <v/>
      </c>
      <c r="BG97" s="190" t="str">
        <f>IF(Table2[[#This Row],[Counter Number]]="","",Table2[[#This Row],[Annual Miles Traveled:]]*VLOOKUP(Table2[[#This Row],[Engine Model Year:]],EF!$A$2:$G$27,4,FALSE))</f>
        <v/>
      </c>
      <c r="BH97" s="173" t="str">
        <f>IF(Table2[[#This Row],[Counter Number]]="","",Table2[[#This Row],[Annual Miles Traveled:]]*IF(Table2[[#This Row],[New Engine Fuel Type:]]="ULSD",VLOOKUP(Table2[[#This Row],[New Engine Model Year:]],EFTable[],4,FALSE),VLOOKUP(Table2[[#This Row],[New Engine Fuel Type:]],EFTable[],4,FALSE)))</f>
        <v/>
      </c>
      <c r="BI97" s="191" t="str">
        <f>IF(Table2[[#This Row],[Counter Number]]="","",Table2[[#This Row],[Old Bus PM2.5 Emissions (tons/yr)]]-Table2[[#This Row],[New Bus PM2.5 Emissions (tons/yr)]])</f>
        <v/>
      </c>
      <c r="BJ97" s="192" t="str">
        <f>IF(Table2[[#This Row],[Counter Number]]="","",Table2[[#This Row],[Reduction Bus PM2.5 Emissions (tons/yr)]]/Table2[[#This Row],[Old Bus PM2.5 Emissions (tons/yr)]])</f>
        <v/>
      </c>
      <c r="BK97" s="193" t="str">
        <f>IF(Table2[[#This Row],[Counter Number]]="","",Table2[[#This Row],[Reduction Bus PM2.5 Emissions (tons/yr)]]*Table2[[#This Row],[Remaining Life:]])</f>
        <v/>
      </c>
      <c r="BL97" s="194" t="str">
        <f>IF(Table2[[#This Row],[Counter Number]]="","",IF(Table2[[#This Row],[Lifetime PM2.5 Reduction (tons)]]=0,"NA",Table2[[#This Row],[Upgrade Cost Per Unit]]/Table2[[#This Row],[Lifetime PM2.5 Reduction (tons)]]))</f>
        <v/>
      </c>
      <c r="BM97" s="179" t="str">
        <f>IF(Table2[[#This Row],[Counter Number]]="","",Table2[[#This Row],[Annual Miles Traveled:]]*VLOOKUP(Table2[[#This Row],[Engine Model Year:]],EF!$A$2:$G$40,5,FALSE))</f>
        <v/>
      </c>
      <c r="BN97" s="173" t="str">
        <f>IF(Table2[[#This Row],[Counter Number]]="","",Table2[[#This Row],[Annual Miles Traveled:]]*IF(Table2[[#This Row],[New Engine Fuel Type:]]="ULSD",VLOOKUP(Table2[[#This Row],[New Engine Model Year:]],EFTable[],5,FALSE),VLOOKUP(Table2[[#This Row],[New Engine Fuel Type:]],EFTable[],5,FALSE)))</f>
        <v/>
      </c>
      <c r="BO97" s="190" t="str">
        <f>IF(Table2[[#This Row],[Counter Number]]="","",Table2[[#This Row],[Old Bus HC Emissions (tons/yr)]]-Table2[[#This Row],[New Bus HC Emissions (tons/yr)]])</f>
        <v/>
      </c>
      <c r="BP97" s="188" t="str">
        <f>IF(Table2[[#This Row],[Counter Number]]="","",Table2[[#This Row],[Reduction Bus HC Emissions (tons/yr)]]/Table2[[#This Row],[Old Bus HC Emissions (tons/yr)]])</f>
        <v/>
      </c>
      <c r="BQ97" s="193" t="str">
        <f>IF(Table2[[#This Row],[Counter Number]]="","",Table2[[#This Row],[Reduction Bus HC Emissions (tons/yr)]]*Table2[[#This Row],[Remaining Life:]])</f>
        <v/>
      </c>
      <c r="BR97" s="194" t="str">
        <f>IF(Table2[[#This Row],[Counter Number]]="","",IF(Table2[[#This Row],[Lifetime HC Reduction (tons)]]=0,"NA",Table2[[#This Row],[Upgrade Cost Per Unit]]/Table2[[#This Row],[Lifetime HC Reduction (tons)]]))</f>
        <v/>
      </c>
      <c r="BS97" s="191" t="str">
        <f>IF(Table2[[#This Row],[Counter Number]]="","",Table2[[#This Row],[Annual Miles Traveled:]]*VLOOKUP(Table2[[#This Row],[Engine Model Year:]],EF!$A$2:$G$27,6,FALSE))</f>
        <v/>
      </c>
      <c r="BT97" s="173" t="str">
        <f>IF(Table2[[#This Row],[Counter Number]]="","",Table2[[#This Row],[Annual Miles Traveled:]]*IF(Table2[[#This Row],[New Engine Fuel Type:]]="ULSD",VLOOKUP(Table2[[#This Row],[New Engine Model Year:]],EFTable[],6,FALSE),VLOOKUP(Table2[[#This Row],[New Engine Fuel Type:]],EFTable[],6,FALSE)))</f>
        <v/>
      </c>
      <c r="BU97" s="190" t="str">
        <f>IF(Table2[[#This Row],[Counter Number]]="","",Table2[[#This Row],[Old Bus CO Emissions (tons/yr)]]-Table2[[#This Row],[New Bus CO Emissions (tons/yr)]])</f>
        <v/>
      </c>
      <c r="BV97" s="188" t="str">
        <f>IF(Table2[[#This Row],[Counter Number]]="","",Table2[[#This Row],[Reduction Bus CO Emissions (tons/yr)]]/Table2[[#This Row],[Old Bus CO Emissions (tons/yr)]])</f>
        <v/>
      </c>
      <c r="BW97" s="193" t="str">
        <f>IF(Table2[[#This Row],[Counter Number]]="","",Table2[[#This Row],[Reduction Bus CO Emissions (tons/yr)]]*Table2[[#This Row],[Remaining Life:]])</f>
        <v/>
      </c>
      <c r="BX97" s="194" t="str">
        <f>IF(Table2[[#This Row],[Counter Number]]="","",IF(Table2[[#This Row],[Lifetime CO Reduction (tons)]]=0,"NA",Table2[[#This Row],[Upgrade Cost Per Unit]]/Table2[[#This Row],[Lifetime CO Reduction (tons)]]))</f>
        <v/>
      </c>
      <c r="BY97" s="180" t="str">
        <f>IF(Table2[[#This Row],[Counter Number]]="","",Table2[[#This Row],[Old ULSD Used (gal):]]*VLOOKUP(Table2[[#This Row],[Engine Model Year:]],EF!$A$2:$G$27,7,FALSE))</f>
        <v/>
      </c>
      <c r="BZ9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7" s="195" t="str">
        <f>IF(Table2[[#This Row],[Counter Number]]="","",Table2[[#This Row],[Old Bus CO2 Emissions (tons/yr)]]-Table2[[#This Row],[New Bus CO2 Emissions (tons/yr)]])</f>
        <v/>
      </c>
      <c r="CB97" s="188" t="str">
        <f>IF(Table2[[#This Row],[Counter Number]]="","",Table2[[#This Row],[Reduction Bus CO2 Emissions (tons/yr)]]/Table2[[#This Row],[Old Bus CO2 Emissions (tons/yr)]])</f>
        <v/>
      </c>
      <c r="CC97" s="195" t="str">
        <f>IF(Table2[[#This Row],[Counter Number]]="","",Table2[[#This Row],[Reduction Bus CO2 Emissions (tons/yr)]]*Table2[[#This Row],[Remaining Life:]])</f>
        <v/>
      </c>
      <c r="CD97" s="194" t="str">
        <f>IF(Table2[[#This Row],[Counter Number]]="","",IF(Table2[[#This Row],[Lifetime CO2 Reduction (tons)]]=0,"NA",Table2[[#This Row],[Upgrade Cost Per Unit]]/Table2[[#This Row],[Lifetime CO2 Reduction (tons)]]))</f>
        <v/>
      </c>
      <c r="CE97" s="182" t="str">
        <f>IF(Table2[[#This Row],[Counter Number]]="","",IF(Table2[[#This Row],[New ULSD Used (gal):]]="",Table2[[#This Row],[Old ULSD Used (gal):]],Table2[[#This Row],[Old ULSD Used (gal):]]-Table2[[#This Row],[New ULSD Used (gal):]]))</f>
        <v/>
      </c>
      <c r="CF97" s="196" t="str">
        <f>IF(Table2[[#This Row],[Counter Number]]="","",Table2[[#This Row],[Diesel Fuel Reduction (gal/yr)]]/Table2[[#This Row],[Old ULSD Used (gal):]])</f>
        <v/>
      </c>
      <c r="CG97" s="197" t="str">
        <f>IF(Table2[[#This Row],[Counter Number]]="","",Table2[[#This Row],[Diesel Fuel Reduction (gal/yr)]]*Table2[[#This Row],[Remaining Life:]])</f>
        <v/>
      </c>
    </row>
    <row r="98" spans="1:85">
      <c r="A98" s="184" t="str">
        <f>IF(A97&lt;Application!$D$24,A97+1,"")</f>
        <v/>
      </c>
      <c r="B98" s="60" t="str">
        <f>IF(Table2[[#This Row],[Counter Number]]="","",Application!$D$16)</f>
        <v/>
      </c>
      <c r="C98" s="60" t="str">
        <f>IF(Table2[[#This Row],[Counter Number]]="","",Application!$D$14)</f>
        <v/>
      </c>
      <c r="D98" s="60" t="str">
        <f>IF(Table2[[#This Row],[Counter Number]]="","",Table1[[#This Row],[Old Bus Number]])</f>
        <v/>
      </c>
      <c r="E98" s="60" t="str">
        <f>IF(Table2[[#This Row],[Counter Number]]="","",Application!$D$15)</f>
        <v/>
      </c>
      <c r="F98" s="60" t="str">
        <f>IF(Table2[[#This Row],[Counter Number]]="","","On Highway")</f>
        <v/>
      </c>
      <c r="G98" s="60" t="str">
        <f>IF(Table2[[#This Row],[Counter Number]]="","",I98)</f>
        <v/>
      </c>
      <c r="H98" s="60" t="str">
        <f>IF(Table2[[#This Row],[Counter Number]]="","","Georgia")</f>
        <v/>
      </c>
      <c r="I98" s="60" t="str">
        <f>IF(Table2[[#This Row],[Counter Number]]="","",Application!$D$16)</f>
        <v/>
      </c>
      <c r="J98" s="60" t="str">
        <f>IF(Table2[[#This Row],[Counter Number]]="","",Application!$D$21)</f>
        <v/>
      </c>
      <c r="K98" s="60" t="str">
        <f>IF(Table2[[#This Row],[Counter Number]]="","",Application!$J$21)</f>
        <v/>
      </c>
      <c r="L98" s="60" t="str">
        <f>IF(Table2[[#This Row],[Counter Number]]="","","School Bus")</f>
        <v/>
      </c>
      <c r="M98" s="60" t="str">
        <f>IF(Table2[[#This Row],[Counter Number]]="","","School Bus")</f>
        <v/>
      </c>
      <c r="N98" s="60" t="str">
        <f>IF(Table2[[#This Row],[Counter Number]]="","",1)</f>
        <v/>
      </c>
      <c r="O98" s="60" t="str">
        <f>IF(Table2[[#This Row],[Counter Number]]="","",Table1[[#This Row],[Vehicle Identification Number(s):]])</f>
        <v/>
      </c>
      <c r="P98" s="60" t="str">
        <f>IF(Table2[[#This Row],[Counter Number]]="","",Table1[[#This Row],[Old Bus Manufacturer:]])</f>
        <v/>
      </c>
      <c r="Q98" s="60" t="str">
        <f>IF(Table2[[#This Row],[Counter Number]]="","",Table1[[#This Row],[Vehicle Model:]])</f>
        <v/>
      </c>
      <c r="R98" s="165" t="str">
        <f>IF(Table2[[#This Row],[Counter Number]]="","",Table1[[#This Row],[Vehicle Model Year:]])</f>
        <v/>
      </c>
      <c r="S98" s="60" t="str">
        <f>IF(Table2[[#This Row],[Counter Number]]="","",Table1[[#This Row],[Engine Serial Number(s):]])</f>
        <v/>
      </c>
      <c r="T98" s="60" t="str">
        <f>IF(Table2[[#This Row],[Counter Number]]="","",Table1[[#This Row],[Engine Make:]])</f>
        <v/>
      </c>
      <c r="U98" s="60" t="str">
        <f>IF(Table2[[#This Row],[Counter Number]]="","",Table1[[#This Row],[Engine Model:]])</f>
        <v/>
      </c>
      <c r="V98" s="165" t="str">
        <f>IF(Table2[[#This Row],[Counter Number]]="","",Table1[[#This Row],[Engine Model Year:]])</f>
        <v/>
      </c>
      <c r="W98" s="60" t="str">
        <f>IF(Table2[[#This Row],[Counter Number]]="","","NA")</f>
        <v/>
      </c>
      <c r="X98" s="165" t="str">
        <f>IF(Table2[[#This Row],[Counter Number]]="","",Table1[[#This Row],[Engine Horsepower (HP):]])</f>
        <v/>
      </c>
      <c r="Y98" s="165" t="str">
        <f>IF(Table2[[#This Row],[Counter Number]]="","",Table1[[#This Row],[Engine Cylinder Displacement (L):]]&amp;" L")</f>
        <v/>
      </c>
      <c r="Z98" s="165" t="str">
        <f>IF(Table2[[#This Row],[Counter Number]]="","",Table1[[#This Row],[Engine Number of Cylinders:]])</f>
        <v/>
      </c>
      <c r="AA98" s="166" t="str">
        <f>IF(Table2[[#This Row],[Counter Number]]="","",Table1[[#This Row],[Engine Family Name:]])</f>
        <v/>
      </c>
      <c r="AB98" s="60" t="str">
        <f>IF(Table2[[#This Row],[Counter Number]]="","","ULSD")</f>
        <v/>
      </c>
      <c r="AC98" s="167" t="str">
        <f>IF(Table2[[#This Row],[Counter Number]]="","",Table2[[#This Row],[Annual Miles Traveled:]]/Table1[[#This Row],[Old Fuel (mpg)]])</f>
        <v/>
      </c>
      <c r="AD98" s="60" t="str">
        <f>IF(Table2[[#This Row],[Counter Number]]="","","NA")</f>
        <v/>
      </c>
      <c r="AE98" s="168" t="str">
        <f>IF(Table2[[#This Row],[Counter Number]]="","",Table1[[#This Row],[Annual Miles Traveled]])</f>
        <v/>
      </c>
      <c r="AF98" s="169" t="str">
        <f>IF(Table2[[#This Row],[Counter Number]]="","",Table1[[#This Row],[Annual Idling Hours:]])</f>
        <v/>
      </c>
      <c r="AG98" s="60" t="str">
        <f>IF(Table2[[#This Row],[Counter Number]]="","","NA")</f>
        <v/>
      </c>
      <c r="AH98" s="165" t="str">
        <f>IF(Table2[[#This Row],[Counter Number]]="","",IF(Application!$J$25="Set Policy",Table1[[#This Row],[Remaining Life (years)         Set Policy]],Table1[[#This Row],[Remaining Life (years)               Case-by-Case]]))</f>
        <v/>
      </c>
      <c r="AI98" s="165" t="str">
        <f>IF(Table2[[#This Row],[Counter Number]]="","",IF(Application!$J$25="Case-by-Case","NA",Table2[[#This Row],[Fiscal Year of EPA Funds Used:]]+Table2[[#This Row],[Remaining Life:]]))</f>
        <v/>
      </c>
      <c r="AJ98" s="165"/>
      <c r="AK98" s="170" t="str">
        <f>IF(Table2[[#This Row],[Counter Number]]="","",Application!$D$14+1)</f>
        <v/>
      </c>
      <c r="AL98" s="60" t="str">
        <f>IF(Table2[[#This Row],[Counter Number]]="","","Vehicle Replacement")</f>
        <v/>
      </c>
      <c r="AM9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8" s="171" t="str">
        <f>IF(Table2[[#This Row],[Counter Number]]="","",Table1[[#This Row],[Cost of New Bus:]])</f>
        <v/>
      </c>
      <c r="AO98" s="60" t="str">
        <f>IF(Table2[[#This Row],[Counter Number]]="","","NA")</f>
        <v/>
      </c>
      <c r="AP98" s="165" t="str">
        <f>IF(Table2[[#This Row],[Counter Number]]="","",Table1[[#This Row],[New Engine Model Year:]])</f>
        <v/>
      </c>
      <c r="AQ98" s="60" t="str">
        <f>IF(Table2[[#This Row],[Counter Number]]="","","NA")</f>
        <v/>
      </c>
      <c r="AR98" s="165" t="str">
        <f>IF(Table2[[#This Row],[Counter Number]]="","",Table1[[#This Row],[New Engine Horsepower (HP):]])</f>
        <v/>
      </c>
      <c r="AS98" s="60" t="str">
        <f>IF(Table2[[#This Row],[Counter Number]]="","","NA")</f>
        <v/>
      </c>
      <c r="AT98" s="165" t="str">
        <f>IF(Table2[[#This Row],[Counter Number]]="","",Table1[[#This Row],[New Engine Cylinder Displacement (L):]]&amp;" L")</f>
        <v/>
      </c>
      <c r="AU98" s="114" t="str">
        <f>IF(Table2[[#This Row],[Counter Number]]="","",Table1[[#This Row],[New Engine Number of Cylinders:]])</f>
        <v/>
      </c>
      <c r="AV98" s="60" t="str">
        <f>IF(Table2[[#This Row],[Counter Number]]="","",Table1[[#This Row],[New Engine Family Name:]])</f>
        <v/>
      </c>
      <c r="AW9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8" s="60" t="str">
        <f>IF(Table2[[#This Row],[Counter Number]]="","","NA")</f>
        <v/>
      </c>
      <c r="AY98" s="172" t="str">
        <f>IF(Table2[[#This Row],[Counter Number]]="","",IF(Table2[[#This Row],[New Engine Fuel Type:]]="ULSD",Table1[[#This Row],[Annual Miles Traveled]]/Table1[[#This Row],[New Fuel (mpg) if Diesel]],""))</f>
        <v/>
      </c>
      <c r="AZ98" s="60"/>
      <c r="BA98" s="173" t="str">
        <f>IF(Table2[[#This Row],[Counter Number]]="","",Table2[[#This Row],[Annual Miles Traveled:]]*VLOOKUP(Table2[[#This Row],[Engine Model Year:]],EFTable[],3,FALSE))</f>
        <v/>
      </c>
      <c r="BB98" s="173" t="str">
        <f>IF(Table2[[#This Row],[Counter Number]]="","",Table2[[#This Row],[Annual Miles Traveled:]]*IF(Table2[[#This Row],[New Engine Fuel Type:]]="ULSD",VLOOKUP(Table2[[#This Row],[New Engine Model Year:]],EFTable[],3,FALSE),VLOOKUP(Table2[[#This Row],[New Engine Fuel Type:]],EFTable[],3,FALSE)))</f>
        <v/>
      </c>
      <c r="BC98" s="187" t="str">
        <f>IF(Table2[[#This Row],[Counter Number]]="","",Table2[[#This Row],[Old Bus NOx Emissions (tons/yr)]]-Table2[[#This Row],[New Bus NOx Emissions (tons/yr)]])</f>
        <v/>
      </c>
      <c r="BD98" s="188" t="str">
        <f>IF(Table2[[#This Row],[Counter Number]]="","",Table2[[#This Row],[Reduction Bus NOx Emissions (tons/yr)]]/Table2[[#This Row],[Old Bus NOx Emissions (tons/yr)]])</f>
        <v/>
      </c>
      <c r="BE98" s="175" t="str">
        <f>IF(Table2[[#This Row],[Counter Number]]="","",Table2[[#This Row],[Reduction Bus NOx Emissions (tons/yr)]]*Table2[[#This Row],[Remaining Life:]])</f>
        <v/>
      </c>
      <c r="BF98" s="189" t="str">
        <f>IF(Table2[[#This Row],[Counter Number]]="","",IF(Table2[[#This Row],[Lifetime NOx Reduction (tons)]]=0,"NA",Table2[[#This Row],[Upgrade Cost Per Unit]]/Table2[[#This Row],[Lifetime NOx Reduction (tons)]]))</f>
        <v/>
      </c>
      <c r="BG98" s="190" t="str">
        <f>IF(Table2[[#This Row],[Counter Number]]="","",Table2[[#This Row],[Annual Miles Traveled:]]*VLOOKUP(Table2[[#This Row],[Engine Model Year:]],EF!$A$2:$G$27,4,FALSE))</f>
        <v/>
      </c>
      <c r="BH98" s="173" t="str">
        <f>IF(Table2[[#This Row],[Counter Number]]="","",Table2[[#This Row],[Annual Miles Traveled:]]*IF(Table2[[#This Row],[New Engine Fuel Type:]]="ULSD",VLOOKUP(Table2[[#This Row],[New Engine Model Year:]],EFTable[],4,FALSE),VLOOKUP(Table2[[#This Row],[New Engine Fuel Type:]],EFTable[],4,FALSE)))</f>
        <v/>
      </c>
      <c r="BI98" s="191" t="str">
        <f>IF(Table2[[#This Row],[Counter Number]]="","",Table2[[#This Row],[Old Bus PM2.5 Emissions (tons/yr)]]-Table2[[#This Row],[New Bus PM2.5 Emissions (tons/yr)]])</f>
        <v/>
      </c>
      <c r="BJ98" s="192" t="str">
        <f>IF(Table2[[#This Row],[Counter Number]]="","",Table2[[#This Row],[Reduction Bus PM2.5 Emissions (tons/yr)]]/Table2[[#This Row],[Old Bus PM2.5 Emissions (tons/yr)]])</f>
        <v/>
      </c>
      <c r="BK98" s="193" t="str">
        <f>IF(Table2[[#This Row],[Counter Number]]="","",Table2[[#This Row],[Reduction Bus PM2.5 Emissions (tons/yr)]]*Table2[[#This Row],[Remaining Life:]])</f>
        <v/>
      </c>
      <c r="BL98" s="194" t="str">
        <f>IF(Table2[[#This Row],[Counter Number]]="","",IF(Table2[[#This Row],[Lifetime PM2.5 Reduction (tons)]]=0,"NA",Table2[[#This Row],[Upgrade Cost Per Unit]]/Table2[[#This Row],[Lifetime PM2.5 Reduction (tons)]]))</f>
        <v/>
      </c>
      <c r="BM98" s="179" t="str">
        <f>IF(Table2[[#This Row],[Counter Number]]="","",Table2[[#This Row],[Annual Miles Traveled:]]*VLOOKUP(Table2[[#This Row],[Engine Model Year:]],EF!$A$2:$G$40,5,FALSE))</f>
        <v/>
      </c>
      <c r="BN98" s="173" t="str">
        <f>IF(Table2[[#This Row],[Counter Number]]="","",Table2[[#This Row],[Annual Miles Traveled:]]*IF(Table2[[#This Row],[New Engine Fuel Type:]]="ULSD",VLOOKUP(Table2[[#This Row],[New Engine Model Year:]],EFTable[],5,FALSE),VLOOKUP(Table2[[#This Row],[New Engine Fuel Type:]],EFTable[],5,FALSE)))</f>
        <v/>
      </c>
      <c r="BO98" s="190" t="str">
        <f>IF(Table2[[#This Row],[Counter Number]]="","",Table2[[#This Row],[Old Bus HC Emissions (tons/yr)]]-Table2[[#This Row],[New Bus HC Emissions (tons/yr)]])</f>
        <v/>
      </c>
      <c r="BP98" s="188" t="str">
        <f>IF(Table2[[#This Row],[Counter Number]]="","",Table2[[#This Row],[Reduction Bus HC Emissions (tons/yr)]]/Table2[[#This Row],[Old Bus HC Emissions (tons/yr)]])</f>
        <v/>
      </c>
      <c r="BQ98" s="193" t="str">
        <f>IF(Table2[[#This Row],[Counter Number]]="","",Table2[[#This Row],[Reduction Bus HC Emissions (tons/yr)]]*Table2[[#This Row],[Remaining Life:]])</f>
        <v/>
      </c>
      <c r="BR98" s="194" t="str">
        <f>IF(Table2[[#This Row],[Counter Number]]="","",IF(Table2[[#This Row],[Lifetime HC Reduction (tons)]]=0,"NA",Table2[[#This Row],[Upgrade Cost Per Unit]]/Table2[[#This Row],[Lifetime HC Reduction (tons)]]))</f>
        <v/>
      </c>
      <c r="BS98" s="191" t="str">
        <f>IF(Table2[[#This Row],[Counter Number]]="","",Table2[[#This Row],[Annual Miles Traveled:]]*VLOOKUP(Table2[[#This Row],[Engine Model Year:]],EF!$A$2:$G$27,6,FALSE))</f>
        <v/>
      </c>
      <c r="BT98" s="173" t="str">
        <f>IF(Table2[[#This Row],[Counter Number]]="","",Table2[[#This Row],[Annual Miles Traveled:]]*IF(Table2[[#This Row],[New Engine Fuel Type:]]="ULSD",VLOOKUP(Table2[[#This Row],[New Engine Model Year:]],EFTable[],6,FALSE),VLOOKUP(Table2[[#This Row],[New Engine Fuel Type:]],EFTable[],6,FALSE)))</f>
        <v/>
      </c>
      <c r="BU98" s="190" t="str">
        <f>IF(Table2[[#This Row],[Counter Number]]="","",Table2[[#This Row],[Old Bus CO Emissions (tons/yr)]]-Table2[[#This Row],[New Bus CO Emissions (tons/yr)]])</f>
        <v/>
      </c>
      <c r="BV98" s="188" t="str">
        <f>IF(Table2[[#This Row],[Counter Number]]="","",Table2[[#This Row],[Reduction Bus CO Emissions (tons/yr)]]/Table2[[#This Row],[Old Bus CO Emissions (tons/yr)]])</f>
        <v/>
      </c>
      <c r="BW98" s="193" t="str">
        <f>IF(Table2[[#This Row],[Counter Number]]="","",Table2[[#This Row],[Reduction Bus CO Emissions (tons/yr)]]*Table2[[#This Row],[Remaining Life:]])</f>
        <v/>
      </c>
      <c r="BX98" s="194" t="str">
        <f>IF(Table2[[#This Row],[Counter Number]]="","",IF(Table2[[#This Row],[Lifetime CO Reduction (tons)]]=0,"NA",Table2[[#This Row],[Upgrade Cost Per Unit]]/Table2[[#This Row],[Lifetime CO Reduction (tons)]]))</f>
        <v/>
      </c>
      <c r="BY98" s="180" t="str">
        <f>IF(Table2[[#This Row],[Counter Number]]="","",Table2[[#This Row],[Old ULSD Used (gal):]]*VLOOKUP(Table2[[#This Row],[Engine Model Year:]],EF!$A$2:$G$27,7,FALSE))</f>
        <v/>
      </c>
      <c r="BZ9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8" s="195" t="str">
        <f>IF(Table2[[#This Row],[Counter Number]]="","",Table2[[#This Row],[Old Bus CO2 Emissions (tons/yr)]]-Table2[[#This Row],[New Bus CO2 Emissions (tons/yr)]])</f>
        <v/>
      </c>
      <c r="CB98" s="188" t="str">
        <f>IF(Table2[[#This Row],[Counter Number]]="","",Table2[[#This Row],[Reduction Bus CO2 Emissions (tons/yr)]]/Table2[[#This Row],[Old Bus CO2 Emissions (tons/yr)]])</f>
        <v/>
      </c>
      <c r="CC98" s="195" t="str">
        <f>IF(Table2[[#This Row],[Counter Number]]="","",Table2[[#This Row],[Reduction Bus CO2 Emissions (tons/yr)]]*Table2[[#This Row],[Remaining Life:]])</f>
        <v/>
      </c>
      <c r="CD98" s="194" t="str">
        <f>IF(Table2[[#This Row],[Counter Number]]="","",IF(Table2[[#This Row],[Lifetime CO2 Reduction (tons)]]=0,"NA",Table2[[#This Row],[Upgrade Cost Per Unit]]/Table2[[#This Row],[Lifetime CO2 Reduction (tons)]]))</f>
        <v/>
      </c>
      <c r="CE98" s="182" t="str">
        <f>IF(Table2[[#This Row],[Counter Number]]="","",IF(Table2[[#This Row],[New ULSD Used (gal):]]="",Table2[[#This Row],[Old ULSD Used (gal):]],Table2[[#This Row],[Old ULSD Used (gal):]]-Table2[[#This Row],[New ULSD Used (gal):]]))</f>
        <v/>
      </c>
      <c r="CF98" s="196" t="str">
        <f>IF(Table2[[#This Row],[Counter Number]]="","",Table2[[#This Row],[Diesel Fuel Reduction (gal/yr)]]/Table2[[#This Row],[Old ULSD Used (gal):]])</f>
        <v/>
      </c>
      <c r="CG98" s="197" t="str">
        <f>IF(Table2[[#This Row],[Counter Number]]="","",Table2[[#This Row],[Diesel Fuel Reduction (gal/yr)]]*Table2[[#This Row],[Remaining Life:]])</f>
        <v/>
      </c>
    </row>
    <row r="99" spans="1:85">
      <c r="A99" s="184" t="str">
        <f>IF(A98&lt;Application!$D$24,A98+1,"")</f>
        <v/>
      </c>
      <c r="B99" s="60" t="str">
        <f>IF(Table2[[#This Row],[Counter Number]]="","",Application!$D$16)</f>
        <v/>
      </c>
      <c r="C99" s="60" t="str">
        <f>IF(Table2[[#This Row],[Counter Number]]="","",Application!$D$14)</f>
        <v/>
      </c>
      <c r="D99" s="60" t="str">
        <f>IF(Table2[[#This Row],[Counter Number]]="","",Table1[[#This Row],[Old Bus Number]])</f>
        <v/>
      </c>
      <c r="E99" s="60" t="str">
        <f>IF(Table2[[#This Row],[Counter Number]]="","",Application!$D$15)</f>
        <v/>
      </c>
      <c r="F99" s="60" t="str">
        <f>IF(Table2[[#This Row],[Counter Number]]="","","On Highway")</f>
        <v/>
      </c>
      <c r="G99" s="60" t="str">
        <f>IF(Table2[[#This Row],[Counter Number]]="","",I99)</f>
        <v/>
      </c>
      <c r="H99" s="60" t="str">
        <f>IF(Table2[[#This Row],[Counter Number]]="","","Georgia")</f>
        <v/>
      </c>
      <c r="I99" s="60" t="str">
        <f>IF(Table2[[#This Row],[Counter Number]]="","",Application!$D$16)</f>
        <v/>
      </c>
      <c r="J99" s="60" t="str">
        <f>IF(Table2[[#This Row],[Counter Number]]="","",Application!$D$21)</f>
        <v/>
      </c>
      <c r="K99" s="60" t="str">
        <f>IF(Table2[[#This Row],[Counter Number]]="","",Application!$J$21)</f>
        <v/>
      </c>
      <c r="L99" s="60" t="str">
        <f>IF(Table2[[#This Row],[Counter Number]]="","","School Bus")</f>
        <v/>
      </c>
      <c r="M99" s="60" t="str">
        <f>IF(Table2[[#This Row],[Counter Number]]="","","School Bus")</f>
        <v/>
      </c>
      <c r="N99" s="60" t="str">
        <f>IF(Table2[[#This Row],[Counter Number]]="","",1)</f>
        <v/>
      </c>
      <c r="O99" s="60" t="str">
        <f>IF(Table2[[#This Row],[Counter Number]]="","",Table1[[#This Row],[Vehicle Identification Number(s):]])</f>
        <v/>
      </c>
      <c r="P99" s="60" t="str">
        <f>IF(Table2[[#This Row],[Counter Number]]="","",Table1[[#This Row],[Old Bus Manufacturer:]])</f>
        <v/>
      </c>
      <c r="Q99" s="60" t="str">
        <f>IF(Table2[[#This Row],[Counter Number]]="","",Table1[[#This Row],[Vehicle Model:]])</f>
        <v/>
      </c>
      <c r="R99" s="165" t="str">
        <f>IF(Table2[[#This Row],[Counter Number]]="","",Table1[[#This Row],[Vehicle Model Year:]])</f>
        <v/>
      </c>
      <c r="S99" s="60" t="str">
        <f>IF(Table2[[#This Row],[Counter Number]]="","",Table1[[#This Row],[Engine Serial Number(s):]])</f>
        <v/>
      </c>
      <c r="T99" s="60" t="str">
        <f>IF(Table2[[#This Row],[Counter Number]]="","",Table1[[#This Row],[Engine Make:]])</f>
        <v/>
      </c>
      <c r="U99" s="60" t="str">
        <f>IF(Table2[[#This Row],[Counter Number]]="","",Table1[[#This Row],[Engine Model:]])</f>
        <v/>
      </c>
      <c r="V99" s="165" t="str">
        <f>IF(Table2[[#This Row],[Counter Number]]="","",Table1[[#This Row],[Engine Model Year:]])</f>
        <v/>
      </c>
      <c r="W99" s="60" t="str">
        <f>IF(Table2[[#This Row],[Counter Number]]="","","NA")</f>
        <v/>
      </c>
      <c r="X99" s="165" t="str">
        <f>IF(Table2[[#This Row],[Counter Number]]="","",Table1[[#This Row],[Engine Horsepower (HP):]])</f>
        <v/>
      </c>
      <c r="Y99" s="165" t="str">
        <f>IF(Table2[[#This Row],[Counter Number]]="","",Table1[[#This Row],[Engine Cylinder Displacement (L):]]&amp;" L")</f>
        <v/>
      </c>
      <c r="Z99" s="165" t="str">
        <f>IF(Table2[[#This Row],[Counter Number]]="","",Table1[[#This Row],[Engine Number of Cylinders:]])</f>
        <v/>
      </c>
      <c r="AA99" s="166" t="str">
        <f>IF(Table2[[#This Row],[Counter Number]]="","",Table1[[#This Row],[Engine Family Name:]])</f>
        <v/>
      </c>
      <c r="AB99" s="60" t="str">
        <f>IF(Table2[[#This Row],[Counter Number]]="","","ULSD")</f>
        <v/>
      </c>
      <c r="AC99" s="167" t="str">
        <f>IF(Table2[[#This Row],[Counter Number]]="","",Table2[[#This Row],[Annual Miles Traveled:]]/Table1[[#This Row],[Old Fuel (mpg)]])</f>
        <v/>
      </c>
      <c r="AD99" s="60" t="str">
        <f>IF(Table2[[#This Row],[Counter Number]]="","","NA")</f>
        <v/>
      </c>
      <c r="AE99" s="168" t="str">
        <f>IF(Table2[[#This Row],[Counter Number]]="","",Table1[[#This Row],[Annual Miles Traveled]])</f>
        <v/>
      </c>
      <c r="AF99" s="169" t="str">
        <f>IF(Table2[[#This Row],[Counter Number]]="","",Table1[[#This Row],[Annual Idling Hours:]])</f>
        <v/>
      </c>
      <c r="AG99" s="60" t="str">
        <f>IF(Table2[[#This Row],[Counter Number]]="","","NA")</f>
        <v/>
      </c>
      <c r="AH99" s="165" t="str">
        <f>IF(Table2[[#This Row],[Counter Number]]="","",IF(Application!$J$25="Set Policy",Table1[[#This Row],[Remaining Life (years)         Set Policy]],Table1[[#This Row],[Remaining Life (years)               Case-by-Case]]))</f>
        <v/>
      </c>
      <c r="AI99" s="165" t="str">
        <f>IF(Table2[[#This Row],[Counter Number]]="","",IF(Application!$J$25="Case-by-Case","NA",Table2[[#This Row],[Fiscal Year of EPA Funds Used:]]+Table2[[#This Row],[Remaining Life:]]))</f>
        <v/>
      </c>
      <c r="AJ99" s="165"/>
      <c r="AK99" s="170" t="str">
        <f>IF(Table2[[#This Row],[Counter Number]]="","",Application!$D$14+1)</f>
        <v/>
      </c>
      <c r="AL99" s="60" t="str">
        <f>IF(Table2[[#This Row],[Counter Number]]="","","Vehicle Replacement")</f>
        <v/>
      </c>
      <c r="AM9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9" s="171" t="str">
        <f>IF(Table2[[#This Row],[Counter Number]]="","",Table1[[#This Row],[Cost of New Bus:]])</f>
        <v/>
      </c>
      <c r="AO99" s="60" t="str">
        <f>IF(Table2[[#This Row],[Counter Number]]="","","NA")</f>
        <v/>
      </c>
      <c r="AP99" s="165" t="str">
        <f>IF(Table2[[#This Row],[Counter Number]]="","",Table1[[#This Row],[New Engine Model Year:]])</f>
        <v/>
      </c>
      <c r="AQ99" s="60" t="str">
        <f>IF(Table2[[#This Row],[Counter Number]]="","","NA")</f>
        <v/>
      </c>
      <c r="AR99" s="165" t="str">
        <f>IF(Table2[[#This Row],[Counter Number]]="","",Table1[[#This Row],[New Engine Horsepower (HP):]])</f>
        <v/>
      </c>
      <c r="AS99" s="60" t="str">
        <f>IF(Table2[[#This Row],[Counter Number]]="","","NA")</f>
        <v/>
      </c>
      <c r="AT99" s="165" t="str">
        <f>IF(Table2[[#This Row],[Counter Number]]="","",Table1[[#This Row],[New Engine Cylinder Displacement (L):]]&amp;" L")</f>
        <v/>
      </c>
      <c r="AU99" s="114" t="str">
        <f>IF(Table2[[#This Row],[Counter Number]]="","",Table1[[#This Row],[New Engine Number of Cylinders:]])</f>
        <v/>
      </c>
      <c r="AV99" s="60" t="str">
        <f>IF(Table2[[#This Row],[Counter Number]]="","",Table1[[#This Row],[New Engine Family Name:]])</f>
        <v/>
      </c>
      <c r="AW9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9" s="60" t="str">
        <f>IF(Table2[[#This Row],[Counter Number]]="","","NA")</f>
        <v/>
      </c>
      <c r="AY99" s="172" t="str">
        <f>IF(Table2[[#This Row],[Counter Number]]="","",IF(Table2[[#This Row],[New Engine Fuel Type:]]="ULSD",Table1[[#This Row],[Annual Miles Traveled]]/Table1[[#This Row],[New Fuel (mpg) if Diesel]],""))</f>
        <v/>
      </c>
      <c r="AZ99" s="60"/>
      <c r="BA99" s="173" t="str">
        <f>IF(Table2[[#This Row],[Counter Number]]="","",Table2[[#This Row],[Annual Miles Traveled:]]*VLOOKUP(Table2[[#This Row],[Engine Model Year:]],EFTable[],3,FALSE))</f>
        <v/>
      </c>
      <c r="BB99" s="173" t="str">
        <f>IF(Table2[[#This Row],[Counter Number]]="","",Table2[[#This Row],[Annual Miles Traveled:]]*IF(Table2[[#This Row],[New Engine Fuel Type:]]="ULSD",VLOOKUP(Table2[[#This Row],[New Engine Model Year:]],EFTable[],3,FALSE),VLOOKUP(Table2[[#This Row],[New Engine Fuel Type:]],EFTable[],3,FALSE)))</f>
        <v/>
      </c>
      <c r="BC99" s="187" t="str">
        <f>IF(Table2[[#This Row],[Counter Number]]="","",Table2[[#This Row],[Old Bus NOx Emissions (tons/yr)]]-Table2[[#This Row],[New Bus NOx Emissions (tons/yr)]])</f>
        <v/>
      </c>
      <c r="BD99" s="188" t="str">
        <f>IF(Table2[[#This Row],[Counter Number]]="","",Table2[[#This Row],[Reduction Bus NOx Emissions (tons/yr)]]/Table2[[#This Row],[Old Bus NOx Emissions (tons/yr)]])</f>
        <v/>
      </c>
      <c r="BE99" s="175" t="str">
        <f>IF(Table2[[#This Row],[Counter Number]]="","",Table2[[#This Row],[Reduction Bus NOx Emissions (tons/yr)]]*Table2[[#This Row],[Remaining Life:]])</f>
        <v/>
      </c>
      <c r="BF99" s="189" t="str">
        <f>IF(Table2[[#This Row],[Counter Number]]="","",IF(Table2[[#This Row],[Lifetime NOx Reduction (tons)]]=0,"NA",Table2[[#This Row],[Upgrade Cost Per Unit]]/Table2[[#This Row],[Lifetime NOx Reduction (tons)]]))</f>
        <v/>
      </c>
      <c r="BG99" s="190" t="str">
        <f>IF(Table2[[#This Row],[Counter Number]]="","",Table2[[#This Row],[Annual Miles Traveled:]]*VLOOKUP(Table2[[#This Row],[Engine Model Year:]],EF!$A$2:$G$27,4,FALSE))</f>
        <v/>
      </c>
      <c r="BH99" s="173" t="str">
        <f>IF(Table2[[#This Row],[Counter Number]]="","",Table2[[#This Row],[Annual Miles Traveled:]]*IF(Table2[[#This Row],[New Engine Fuel Type:]]="ULSD",VLOOKUP(Table2[[#This Row],[New Engine Model Year:]],EFTable[],4,FALSE),VLOOKUP(Table2[[#This Row],[New Engine Fuel Type:]],EFTable[],4,FALSE)))</f>
        <v/>
      </c>
      <c r="BI99" s="191" t="str">
        <f>IF(Table2[[#This Row],[Counter Number]]="","",Table2[[#This Row],[Old Bus PM2.5 Emissions (tons/yr)]]-Table2[[#This Row],[New Bus PM2.5 Emissions (tons/yr)]])</f>
        <v/>
      </c>
      <c r="BJ99" s="192" t="str">
        <f>IF(Table2[[#This Row],[Counter Number]]="","",Table2[[#This Row],[Reduction Bus PM2.5 Emissions (tons/yr)]]/Table2[[#This Row],[Old Bus PM2.5 Emissions (tons/yr)]])</f>
        <v/>
      </c>
      <c r="BK99" s="193" t="str">
        <f>IF(Table2[[#This Row],[Counter Number]]="","",Table2[[#This Row],[Reduction Bus PM2.5 Emissions (tons/yr)]]*Table2[[#This Row],[Remaining Life:]])</f>
        <v/>
      </c>
      <c r="BL99" s="194" t="str">
        <f>IF(Table2[[#This Row],[Counter Number]]="","",IF(Table2[[#This Row],[Lifetime PM2.5 Reduction (tons)]]=0,"NA",Table2[[#This Row],[Upgrade Cost Per Unit]]/Table2[[#This Row],[Lifetime PM2.5 Reduction (tons)]]))</f>
        <v/>
      </c>
      <c r="BM99" s="179" t="str">
        <f>IF(Table2[[#This Row],[Counter Number]]="","",Table2[[#This Row],[Annual Miles Traveled:]]*VLOOKUP(Table2[[#This Row],[Engine Model Year:]],EF!$A$2:$G$40,5,FALSE))</f>
        <v/>
      </c>
      <c r="BN99" s="173" t="str">
        <f>IF(Table2[[#This Row],[Counter Number]]="","",Table2[[#This Row],[Annual Miles Traveled:]]*IF(Table2[[#This Row],[New Engine Fuel Type:]]="ULSD",VLOOKUP(Table2[[#This Row],[New Engine Model Year:]],EFTable[],5,FALSE),VLOOKUP(Table2[[#This Row],[New Engine Fuel Type:]],EFTable[],5,FALSE)))</f>
        <v/>
      </c>
      <c r="BO99" s="190" t="str">
        <f>IF(Table2[[#This Row],[Counter Number]]="","",Table2[[#This Row],[Old Bus HC Emissions (tons/yr)]]-Table2[[#This Row],[New Bus HC Emissions (tons/yr)]])</f>
        <v/>
      </c>
      <c r="BP99" s="188" t="str">
        <f>IF(Table2[[#This Row],[Counter Number]]="","",Table2[[#This Row],[Reduction Bus HC Emissions (tons/yr)]]/Table2[[#This Row],[Old Bus HC Emissions (tons/yr)]])</f>
        <v/>
      </c>
      <c r="BQ99" s="193" t="str">
        <f>IF(Table2[[#This Row],[Counter Number]]="","",Table2[[#This Row],[Reduction Bus HC Emissions (tons/yr)]]*Table2[[#This Row],[Remaining Life:]])</f>
        <v/>
      </c>
      <c r="BR99" s="194" t="str">
        <f>IF(Table2[[#This Row],[Counter Number]]="","",IF(Table2[[#This Row],[Lifetime HC Reduction (tons)]]=0,"NA",Table2[[#This Row],[Upgrade Cost Per Unit]]/Table2[[#This Row],[Lifetime HC Reduction (tons)]]))</f>
        <v/>
      </c>
      <c r="BS99" s="191" t="str">
        <f>IF(Table2[[#This Row],[Counter Number]]="","",Table2[[#This Row],[Annual Miles Traveled:]]*VLOOKUP(Table2[[#This Row],[Engine Model Year:]],EF!$A$2:$G$27,6,FALSE))</f>
        <v/>
      </c>
      <c r="BT99" s="173" t="str">
        <f>IF(Table2[[#This Row],[Counter Number]]="","",Table2[[#This Row],[Annual Miles Traveled:]]*IF(Table2[[#This Row],[New Engine Fuel Type:]]="ULSD",VLOOKUP(Table2[[#This Row],[New Engine Model Year:]],EFTable[],6,FALSE),VLOOKUP(Table2[[#This Row],[New Engine Fuel Type:]],EFTable[],6,FALSE)))</f>
        <v/>
      </c>
      <c r="BU99" s="190" t="str">
        <f>IF(Table2[[#This Row],[Counter Number]]="","",Table2[[#This Row],[Old Bus CO Emissions (tons/yr)]]-Table2[[#This Row],[New Bus CO Emissions (tons/yr)]])</f>
        <v/>
      </c>
      <c r="BV99" s="188" t="str">
        <f>IF(Table2[[#This Row],[Counter Number]]="","",Table2[[#This Row],[Reduction Bus CO Emissions (tons/yr)]]/Table2[[#This Row],[Old Bus CO Emissions (tons/yr)]])</f>
        <v/>
      </c>
      <c r="BW99" s="193" t="str">
        <f>IF(Table2[[#This Row],[Counter Number]]="","",Table2[[#This Row],[Reduction Bus CO Emissions (tons/yr)]]*Table2[[#This Row],[Remaining Life:]])</f>
        <v/>
      </c>
      <c r="BX99" s="194" t="str">
        <f>IF(Table2[[#This Row],[Counter Number]]="","",IF(Table2[[#This Row],[Lifetime CO Reduction (tons)]]=0,"NA",Table2[[#This Row],[Upgrade Cost Per Unit]]/Table2[[#This Row],[Lifetime CO Reduction (tons)]]))</f>
        <v/>
      </c>
      <c r="BY99" s="180" t="str">
        <f>IF(Table2[[#This Row],[Counter Number]]="","",Table2[[#This Row],[Old ULSD Used (gal):]]*VLOOKUP(Table2[[#This Row],[Engine Model Year:]],EF!$A$2:$G$27,7,FALSE))</f>
        <v/>
      </c>
      <c r="BZ9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9" s="195" t="str">
        <f>IF(Table2[[#This Row],[Counter Number]]="","",Table2[[#This Row],[Old Bus CO2 Emissions (tons/yr)]]-Table2[[#This Row],[New Bus CO2 Emissions (tons/yr)]])</f>
        <v/>
      </c>
      <c r="CB99" s="188" t="str">
        <f>IF(Table2[[#This Row],[Counter Number]]="","",Table2[[#This Row],[Reduction Bus CO2 Emissions (tons/yr)]]/Table2[[#This Row],[Old Bus CO2 Emissions (tons/yr)]])</f>
        <v/>
      </c>
      <c r="CC99" s="195" t="str">
        <f>IF(Table2[[#This Row],[Counter Number]]="","",Table2[[#This Row],[Reduction Bus CO2 Emissions (tons/yr)]]*Table2[[#This Row],[Remaining Life:]])</f>
        <v/>
      </c>
      <c r="CD99" s="194" t="str">
        <f>IF(Table2[[#This Row],[Counter Number]]="","",IF(Table2[[#This Row],[Lifetime CO2 Reduction (tons)]]=0,"NA",Table2[[#This Row],[Upgrade Cost Per Unit]]/Table2[[#This Row],[Lifetime CO2 Reduction (tons)]]))</f>
        <v/>
      </c>
      <c r="CE99" s="182" t="str">
        <f>IF(Table2[[#This Row],[Counter Number]]="","",IF(Table2[[#This Row],[New ULSD Used (gal):]]="",Table2[[#This Row],[Old ULSD Used (gal):]],Table2[[#This Row],[Old ULSD Used (gal):]]-Table2[[#This Row],[New ULSD Used (gal):]]))</f>
        <v/>
      </c>
      <c r="CF99" s="196" t="str">
        <f>IF(Table2[[#This Row],[Counter Number]]="","",Table2[[#This Row],[Diesel Fuel Reduction (gal/yr)]]/Table2[[#This Row],[Old ULSD Used (gal):]])</f>
        <v/>
      </c>
      <c r="CG99" s="197" t="str">
        <f>IF(Table2[[#This Row],[Counter Number]]="","",Table2[[#This Row],[Diesel Fuel Reduction (gal/yr)]]*Table2[[#This Row],[Remaining Life:]])</f>
        <v/>
      </c>
    </row>
    <row r="100" spans="1:85">
      <c r="A100" s="184" t="str">
        <f>IF(A99&lt;Application!$D$24,A99+1,"")</f>
        <v/>
      </c>
      <c r="B100" s="60" t="str">
        <f>IF(Table2[[#This Row],[Counter Number]]="","",Application!$D$16)</f>
        <v/>
      </c>
      <c r="C100" s="60" t="str">
        <f>IF(Table2[[#This Row],[Counter Number]]="","",Application!$D$14)</f>
        <v/>
      </c>
      <c r="D100" s="60" t="str">
        <f>IF(Table2[[#This Row],[Counter Number]]="","",Table1[[#This Row],[Old Bus Number]])</f>
        <v/>
      </c>
      <c r="E100" s="60" t="str">
        <f>IF(Table2[[#This Row],[Counter Number]]="","",Application!$D$15)</f>
        <v/>
      </c>
      <c r="F100" s="60" t="str">
        <f>IF(Table2[[#This Row],[Counter Number]]="","","On Highway")</f>
        <v/>
      </c>
      <c r="G100" s="60" t="str">
        <f>IF(Table2[[#This Row],[Counter Number]]="","",I100)</f>
        <v/>
      </c>
      <c r="H100" s="60" t="str">
        <f>IF(Table2[[#This Row],[Counter Number]]="","","Georgia")</f>
        <v/>
      </c>
      <c r="I100" s="60" t="str">
        <f>IF(Table2[[#This Row],[Counter Number]]="","",Application!$D$16)</f>
        <v/>
      </c>
      <c r="J100" s="60" t="str">
        <f>IF(Table2[[#This Row],[Counter Number]]="","",Application!$D$21)</f>
        <v/>
      </c>
      <c r="K100" s="60" t="str">
        <f>IF(Table2[[#This Row],[Counter Number]]="","",Application!$J$21)</f>
        <v/>
      </c>
      <c r="L100" s="60" t="str">
        <f>IF(Table2[[#This Row],[Counter Number]]="","","School Bus")</f>
        <v/>
      </c>
      <c r="M100" s="60" t="str">
        <f>IF(Table2[[#This Row],[Counter Number]]="","","School Bus")</f>
        <v/>
      </c>
      <c r="N100" s="60" t="str">
        <f>IF(Table2[[#This Row],[Counter Number]]="","",1)</f>
        <v/>
      </c>
      <c r="O100" s="60" t="str">
        <f>IF(Table2[[#This Row],[Counter Number]]="","",Table1[[#This Row],[Vehicle Identification Number(s):]])</f>
        <v/>
      </c>
      <c r="P100" s="60" t="str">
        <f>IF(Table2[[#This Row],[Counter Number]]="","",Table1[[#This Row],[Old Bus Manufacturer:]])</f>
        <v/>
      </c>
      <c r="Q100" s="60" t="str">
        <f>IF(Table2[[#This Row],[Counter Number]]="","",Table1[[#This Row],[Vehicle Model:]])</f>
        <v/>
      </c>
      <c r="R100" s="165" t="str">
        <f>IF(Table2[[#This Row],[Counter Number]]="","",Table1[[#This Row],[Vehicle Model Year:]])</f>
        <v/>
      </c>
      <c r="S100" s="60" t="str">
        <f>IF(Table2[[#This Row],[Counter Number]]="","",Table1[[#This Row],[Engine Serial Number(s):]])</f>
        <v/>
      </c>
      <c r="T100" s="60" t="str">
        <f>IF(Table2[[#This Row],[Counter Number]]="","",Table1[[#This Row],[Engine Make:]])</f>
        <v/>
      </c>
      <c r="U100" s="60" t="str">
        <f>IF(Table2[[#This Row],[Counter Number]]="","",Table1[[#This Row],[Engine Model:]])</f>
        <v/>
      </c>
      <c r="V100" s="165" t="str">
        <f>IF(Table2[[#This Row],[Counter Number]]="","",Table1[[#This Row],[Engine Model Year:]])</f>
        <v/>
      </c>
      <c r="W100" s="60" t="str">
        <f>IF(Table2[[#This Row],[Counter Number]]="","","NA")</f>
        <v/>
      </c>
      <c r="X100" s="165" t="str">
        <f>IF(Table2[[#This Row],[Counter Number]]="","",Table1[[#This Row],[Engine Horsepower (HP):]])</f>
        <v/>
      </c>
      <c r="Y100" s="165" t="str">
        <f>IF(Table2[[#This Row],[Counter Number]]="","",Table1[[#This Row],[Engine Cylinder Displacement (L):]]&amp;" L")</f>
        <v/>
      </c>
      <c r="Z100" s="165" t="str">
        <f>IF(Table2[[#This Row],[Counter Number]]="","",Table1[[#This Row],[Engine Number of Cylinders:]])</f>
        <v/>
      </c>
      <c r="AA100" s="166" t="str">
        <f>IF(Table2[[#This Row],[Counter Number]]="","",Table1[[#This Row],[Engine Family Name:]])</f>
        <v/>
      </c>
      <c r="AB100" s="60" t="str">
        <f>IF(Table2[[#This Row],[Counter Number]]="","","ULSD")</f>
        <v/>
      </c>
      <c r="AC100" s="167" t="str">
        <f>IF(Table2[[#This Row],[Counter Number]]="","",Table2[[#This Row],[Annual Miles Traveled:]]/Table1[[#This Row],[Old Fuel (mpg)]])</f>
        <v/>
      </c>
      <c r="AD100" s="60" t="str">
        <f>IF(Table2[[#This Row],[Counter Number]]="","","NA")</f>
        <v/>
      </c>
      <c r="AE100" s="168" t="str">
        <f>IF(Table2[[#This Row],[Counter Number]]="","",Table1[[#This Row],[Annual Miles Traveled]])</f>
        <v/>
      </c>
      <c r="AF100" s="169" t="str">
        <f>IF(Table2[[#This Row],[Counter Number]]="","",Table1[[#This Row],[Annual Idling Hours:]])</f>
        <v/>
      </c>
      <c r="AG100" s="60" t="str">
        <f>IF(Table2[[#This Row],[Counter Number]]="","","NA")</f>
        <v/>
      </c>
      <c r="AH100" s="165" t="str">
        <f>IF(Table2[[#This Row],[Counter Number]]="","",IF(Application!$J$25="Set Policy",Table1[[#This Row],[Remaining Life (years)         Set Policy]],Table1[[#This Row],[Remaining Life (years)               Case-by-Case]]))</f>
        <v/>
      </c>
      <c r="AI100" s="165" t="str">
        <f>IF(Table2[[#This Row],[Counter Number]]="","",IF(Application!$J$25="Case-by-Case","NA",Table2[[#This Row],[Fiscal Year of EPA Funds Used:]]+Table2[[#This Row],[Remaining Life:]]))</f>
        <v/>
      </c>
      <c r="AJ100" s="165"/>
      <c r="AK100" s="170" t="str">
        <f>IF(Table2[[#This Row],[Counter Number]]="","",Application!$D$14+1)</f>
        <v/>
      </c>
      <c r="AL100" s="60" t="str">
        <f>IF(Table2[[#This Row],[Counter Number]]="","","Vehicle Replacement")</f>
        <v/>
      </c>
      <c r="AM10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0" s="171" t="str">
        <f>IF(Table2[[#This Row],[Counter Number]]="","",Table1[[#This Row],[Cost of New Bus:]])</f>
        <v/>
      </c>
      <c r="AO100" s="60" t="str">
        <f>IF(Table2[[#This Row],[Counter Number]]="","","NA")</f>
        <v/>
      </c>
      <c r="AP100" s="165" t="str">
        <f>IF(Table2[[#This Row],[Counter Number]]="","",Table1[[#This Row],[New Engine Model Year:]])</f>
        <v/>
      </c>
      <c r="AQ100" s="60" t="str">
        <f>IF(Table2[[#This Row],[Counter Number]]="","","NA")</f>
        <v/>
      </c>
      <c r="AR100" s="165" t="str">
        <f>IF(Table2[[#This Row],[Counter Number]]="","",Table1[[#This Row],[New Engine Horsepower (HP):]])</f>
        <v/>
      </c>
      <c r="AS100" s="60" t="str">
        <f>IF(Table2[[#This Row],[Counter Number]]="","","NA")</f>
        <v/>
      </c>
      <c r="AT100" s="165" t="str">
        <f>IF(Table2[[#This Row],[Counter Number]]="","",Table1[[#This Row],[New Engine Cylinder Displacement (L):]]&amp;" L")</f>
        <v/>
      </c>
      <c r="AU100" s="114" t="str">
        <f>IF(Table2[[#This Row],[Counter Number]]="","",Table1[[#This Row],[New Engine Number of Cylinders:]])</f>
        <v/>
      </c>
      <c r="AV100" s="60" t="str">
        <f>IF(Table2[[#This Row],[Counter Number]]="","",Table1[[#This Row],[New Engine Family Name:]])</f>
        <v/>
      </c>
      <c r="AW10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0" s="60" t="str">
        <f>IF(Table2[[#This Row],[Counter Number]]="","","NA")</f>
        <v/>
      </c>
      <c r="AY100" s="172" t="str">
        <f>IF(Table2[[#This Row],[Counter Number]]="","",IF(Table2[[#This Row],[New Engine Fuel Type:]]="ULSD",Table1[[#This Row],[Annual Miles Traveled]]/Table1[[#This Row],[New Fuel (mpg) if Diesel]],""))</f>
        <v/>
      </c>
      <c r="AZ100" s="60"/>
      <c r="BA100" s="173" t="str">
        <f>IF(Table2[[#This Row],[Counter Number]]="","",Table2[[#This Row],[Annual Miles Traveled:]]*VLOOKUP(Table2[[#This Row],[Engine Model Year:]],EFTable[],3,FALSE))</f>
        <v/>
      </c>
      <c r="BB100" s="173" t="str">
        <f>IF(Table2[[#This Row],[Counter Number]]="","",Table2[[#This Row],[Annual Miles Traveled:]]*IF(Table2[[#This Row],[New Engine Fuel Type:]]="ULSD",VLOOKUP(Table2[[#This Row],[New Engine Model Year:]],EFTable[],3,FALSE),VLOOKUP(Table2[[#This Row],[New Engine Fuel Type:]],EFTable[],3,FALSE)))</f>
        <v/>
      </c>
      <c r="BC100" s="187" t="str">
        <f>IF(Table2[[#This Row],[Counter Number]]="","",Table2[[#This Row],[Old Bus NOx Emissions (tons/yr)]]-Table2[[#This Row],[New Bus NOx Emissions (tons/yr)]])</f>
        <v/>
      </c>
      <c r="BD100" s="188" t="str">
        <f>IF(Table2[[#This Row],[Counter Number]]="","",Table2[[#This Row],[Reduction Bus NOx Emissions (tons/yr)]]/Table2[[#This Row],[Old Bus NOx Emissions (tons/yr)]])</f>
        <v/>
      </c>
      <c r="BE100" s="175" t="str">
        <f>IF(Table2[[#This Row],[Counter Number]]="","",Table2[[#This Row],[Reduction Bus NOx Emissions (tons/yr)]]*Table2[[#This Row],[Remaining Life:]])</f>
        <v/>
      </c>
      <c r="BF100" s="189" t="str">
        <f>IF(Table2[[#This Row],[Counter Number]]="","",IF(Table2[[#This Row],[Lifetime NOx Reduction (tons)]]=0,"NA",Table2[[#This Row],[Upgrade Cost Per Unit]]/Table2[[#This Row],[Lifetime NOx Reduction (tons)]]))</f>
        <v/>
      </c>
      <c r="BG100" s="190" t="str">
        <f>IF(Table2[[#This Row],[Counter Number]]="","",Table2[[#This Row],[Annual Miles Traveled:]]*VLOOKUP(Table2[[#This Row],[Engine Model Year:]],EF!$A$2:$G$27,4,FALSE))</f>
        <v/>
      </c>
      <c r="BH100" s="173" t="str">
        <f>IF(Table2[[#This Row],[Counter Number]]="","",Table2[[#This Row],[Annual Miles Traveled:]]*IF(Table2[[#This Row],[New Engine Fuel Type:]]="ULSD",VLOOKUP(Table2[[#This Row],[New Engine Model Year:]],EFTable[],4,FALSE),VLOOKUP(Table2[[#This Row],[New Engine Fuel Type:]],EFTable[],4,FALSE)))</f>
        <v/>
      </c>
      <c r="BI100" s="191" t="str">
        <f>IF(Table2[[#This Row],[Counter Number]]="","",Table2[[#This Row],[Old Bus PM2.5 Emissions (tons/yr)]]-Table2[[#This Row],[New Bus PM2.5 Emissions (tons/yr)]])</f>
        <v/>
      </c>
      <c r="BJ100" s="192" t="str">
        <f>IF(Table2[[#This Row],[Counter Number]]="","",Table2[[#This Row],[Reduction Bus PM2.5 Emissions (tons/yr)]]/Table2[[#This Row],[Old Bus PM2.5 Emissions (tons/yr)]])</f>
        <v/>
      </c>
      <c r="BK100" s="193" t="str">
        <f>IF(Table2[[#This Row],[Counter Number]]="","",Table2[[#This Row],[Reduction Bus PM2.5 Emissions (tons/yr)]]*Table2[[#This Row],[Remaining Life:]])</f>
        <v/>
      </c>
      <c r="BL100" s="194" t="str">
        <f>IF(Table2[[#This Row],[Counter Number]]="","",IF(Table2[[#This Row],[Lifetime PM2.5 Reduction (tons)]]=0,"NA",Table2[[#This Row],[Upgrade Cost Per Unit]]/Table2[[#This Row],[Lifetime PM2.5 Reduction (tons)]]))</f>
        <v/>
      </c>
      <c r="BM100" s="179" t="str">
        <f>IF(Table2[[#This Row],[Counter Number]]="","",Table2[[#This Row],[Annual Miles Traveled:]]*VLOOKUP(Table2[[#This Row],[Engine Model Year:]],EF!$A$2:$G$40,5,FALSE))</f>
        <v/>
      </c>
      <c r="BN100" s="173" t="str">
        <f>IF(Table2[[#This Row],[Counter Number]]="","",Table2[[#This Row],[Annual Miles Traveled:]]*IF(Table2[[#This Row],[New Engine Fuel Type:]]="ULSD",VLOOKUP(Table2[[#This Row],[New Engine Model Year:]],EFTable[],5,FALSE),VLOOKUP(Table2[[#This Row],[New Engine Fuel Type:]],EFTable[],5,FALSE)))</f>
        <v/>
      </c>
      <c r="BO100" s="190" t="str">
        <f>IF(Table2[[#This Row],[Counter Number]]="","",Table2[[#This Row],[Old Bus HC Emissions (tons/yr)]]-Table2[[#This Row],[New Bus HC Emissions (tons/yr)]])</f>
        <v/>
      </c>
      <c r="BP100" s="188" t="str">
        <f>IF(Table2[[#This Row],[Counter Number]]="","",Table2[[#This Row],[Reduction Bus HC Emissions (tons/yr)]]/Table2[[#This Row],[Old Bus HC Emissions (tons/yr)]])</f>
        <v/>
      </c>
      <c r="BQ100" s="193" t="str">
        <f>IF(Table2[[#This Row],[Counter Number]]="","",Table2[[#This Row],[Reduction Bus HC Emissions (tons/yr)]]*Table2[[#This Row],[Remaining Life:]])</f>
        <v/>
      </c>
      <c r="BR100" s="194" t="str">
        <f>IF(Table2[[#This Row],[Counter Number]]="","",IF(Table2[[#This Row],[Lifetime HC Reduction (tons)]]=0,"NA",Table2[[#This Row],[Upgrade Cost Per Unit]]/Table2[[#This Row],[Lifetime HC Reduction (tons)]]))</f>
        <v/>
      </c>
      <c r="BS100" s="191" t="str">
        <f>IF(Table2[[#This Row],[Counter Number]]="","",Table2[[#This Row],[Annual Miles Traveled:]]*VLOOKUP(Table2[[#This Row],[Engine Model Year:]],EF!$A$2:$G$27,6,FALSE))</f>
        <v/>
      </c>
      <c r="BT100" s="173" t="str">
        <f>IF(Table2[[#This Row],[Counter Number]]="","",Table2[[#This Row],[Annual Miles Traveled:]]*IF(Table2[[#This Row],[New Engine Fuel Type:]]="ULSD",VLOOKUP(Table2[[#This Row],[New Engine Model Year:]],EFTable[],6,FALSE),VLOOKUP(Table2[[#This Row],[New Engine Fuel Type:]],EFTable[],6,FALSE)))</f>
        <v/>
      </c>
      <c r="BU100" s="190" t="str">
        <f>IF(Table2[[#This Row],[Counter Number]]="","",Table2[[#This Row],[Old Bus CO Emissions (tons/yr)]]-Table2[[#This Row],[New Bus CO Emissions (tons/yr)]])</f>
        <v/>
      </c>
      <c r="BV100" s="188" t="str">
        <f>IF(Table2[[#This Row],[Counter Number]]="","",Table2[[#This Row],[Reduction Bus CO Emissions (tons/yr)]]/Table2[[#This Row],[Old Bus CO Emissions (tons/yr)]])</f>
        <v/>
      </c>
      <c r="BW100" s="193" t="str">
        <f>IF(Table2[[#This Row],[Counter Number]]="","",Table2[[#This Row],[Reduction Bus CO Emissions (tons/yr)]]*Table2[[#This Row],[Remaining Life:]])</f>
        <v/>
      </c>
      <c r="BX100" s="194" t="str">
        <f>IF(Table2[[#This Row],[Counter Number]]="","",IF(Table2[[#This Row],[Lifetime CO Reduction (tons)]]=0,"NA",Table2[[#This Row],[Upgrade Cost Per Unit]]/Table2[[#This Row],[Lifetime CO Reduction (tons)]]))</f>
        <v/>
      </c>
      <c r="BY100" s="180" t="str">
        <f>IF(Table2[[#This Row],[Counter Number]]="","",Table2[[#This Row],[Old ULSD Used (gal):]]*VLOOKUP(Table2[[#This Row],[Engine Model Year:]],EF!$A$2:$G$27,7,FALSE))</f>
        <v/>
      </c>
      <c r="BZ10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0" s="195" t="str">
        <f>IF(Table2[[#This Row],[Counter Number]]="","",Table2[[#This Row],[Old Bus CO2 Emissions (tons/yr)]]-Table2[[#This Row],[New Bus CO2 Emissions (tons/yr)]])</f>
        <v/>
      </c>
      <c r="CB100" s="188" t="str">
        <f>IF(Table2[[#This Row],[Counter Number]]="","",Table2[[#This Row],[Reduction Bus CO2 Emissions (tons/yr)]]/Table2[[#This Row],[Old Bus CO2 Emissions (tons/yr)]])</f>
        <v/>
      </c>
      <c r="CC100" s="195" t="str">
        <f>IF(Table2[[#This Row],[Counter Number]]="","",Table2[[#This Row],[Reduction Bus CO2 Emissions (tons/yr)]]*Table2[[#This Row],[Remaining Life:]])</f>
        <v/>
      </c>
      <c r="CD100" s="194" t="str">
        <f>IF(Table2[[#This Row],[Counter Number]]="","",IF(Table2[[#This Row],[Lifetime CO2 Reduction (tons)]]=0,"NA",Table2[[#This Row],[Upgrade Cost Per Unit]]/Table2[[#This Row],[Lifetime CO2 Reduction (tons)]]))</f>
        <v/>
      </c>
      <c r="CE100" s="182" t="str">
        <f>IF(Table2[[#This Row],[Counter Number]]="","",IF(Table2[[#This Row],[New ULSD Used (gal):]]="",Table2[[#This Row],[Old ULSD Used (gal):]],Table2[[#This Row],[Old ULSD Used (gal):]]-Table2[[#This Row],[New ULSD Used (gal):]]))</f>
        <v/>
      </c>
      <c r="CF100" s="196" t="str">
        <f>IF(Table2[[#This Row],[Counter Number]]="","",Table2[[#This Row],[Diesel Fuel Reduction (gal/yr)]]/Table2[[#This Row],[Old ULSD Used (gal):]])</f>
        <v/>
      </c>
      <c r="CG100" s="197" t="str">
        <f>IF(Table2[[#This Row],[Counter Number]]="","",Table2[[#This Row],[Diesel Fuel Reduction (gal/yr)]]*Table2[[#This Row],[Remaining Life:]])</f>
        <v/>
      </c>
    </row>
    <row r="101" spans="1:85">
      <c r="A101" s="184" t="str">
        <f>IF(A100&lt;Application!$D$24,A100+1,"")</f>
        <v/>
      </c>
      <c r="B101" s="60" t="str">
        <f>IF(Table2[[#This Row],[Counter Number]]="","",Application!$D$16)</f>
        <v/>
      </c>
      <c r="C101" s="60" t="str">
        <f>IF(Table2[[#This Row],[Counter Number]]="","",Application!$D$14)</f>
        <v/>
      </c>
      <c r="D101" s="60" t="str">
        <f>IF(Table2[[#This Row],[Counter Number]]="","",Table1[[#This Row],[Old Bus Number]])</f>
        <v/>
      </c>
      <c r="E101" s="60" t="str">
        <f>IF(Table2[[#This Row],[Counter Number]]="","",Application!$D$15)</f>
        <v/>
      </c>
      <c r="F101" s="60" t="str">
        <f>IF(Table2[[#This Row],[Counter Number]]="","","On Highway")</f>
        <v/>
      </c>
      <c r="G101" s="60" t="str">
        <f>IF(Table2[[#This Row],[Counter Number]]="","",I101)</f>
        <v/>
      </c>
      <c r="H101" s="60" t="str">
        <f>IF(Table2[[#This Row],[Counter Number]]="","","Georgia")</f>
        <v/>
      </c>
      <c r="I101" s="60" t="str">
        <f>IF(Table2[[#This Row],[Counter Number]]="","",Application!$D$16)</f>
        <v/>
      </c>
      <c r="J101" s="60" t="str">
        <f>IF(Table2[[#This Row],[Counter Number]]="","",Application!$D$21)</f>
        <v/>
      </c>
      <c r="K101" s="60" t="str">
        <f>IF(Table2[[#This Row],[Counter Number]]="","",Application!$J$21)</f>
        <v/>
      </c>
      <c r="L101" s="60" t="str">
        <f>IF(Table2[[#This Row],[Counter Number]]="","","School Bus")</f>
        <v/>
      </c>
      <c r="M101" s="60" t="str">
        <f>IF(Table2[[#This Row],[Counter Number]]="","","School Bus")</f>
        <v/>
      </c>
      <c r="N101" s="60" t="str">
        <f>IF(Table2[[#This Row],[Counter Number]]="","",1)</f>
        <v/>
      </c>
      <c r="O101" s="60" t="str">
        <f>IF(Table2[[#This Row],[Counter Number]]="","",Table1[[#This Row],[Vehicle Identification Number(s):]])</f>
        <v/>
      </c>
      <c r="P101" s="60" t="str">
        <f>IF(Table2[[#This Row],[Counter Number]]="","",Table1[[#This Row],[Old Bus Manufacturer:]])</f>
        <v/>
      </c>
      <c r="Q101" s="60" t="str">
        <f>IF(Table2[[#This Row],[Counter Number]]="","",Table1[[#This Row],[Vehicle Model:]])</f>
        <v/>
      </c>
      <c r="R101" s="165" t="str">
        <f>IF(Table2[[#This Row],[Counter Number]]="","",Table1[[#This Row],[Vehicle Model Year:]])</f>
        <v/>
      </c>
      <c r="S101" s="60" t="str">
        <f>IF(Table2[[#This Row],[Counter Number]]="","",Table1[[#This Row],[Engine Serial Number(s):]])</f>
        <v/>
      </c>
      <c r="T101" s="60" t="str">
        <f>IF(Table2[[#This Row],[Counter Number]]="","",Table1[[#This Row],[Engine Make:]])</f>
        <v/>
      </c>
      <c r="U101" s="60" t="str">
        <f>IF(Table2[[#This Row],[Counter Number]]="","",Table1[[#This Row],[Engine Model:]])</f>
        <v/>
      </c>
      <c r="V101" s="165" t="str">
        <f>IF(Table2[[#This Row],[Counter Number]]="","",Table1[[#This Row],[Engine Model Year:]])</f>
        <v/>
      </c>
      <c r="W101" s="60" t="str">
        <f>IF(Table2[[#This Row],[Counter Number]]="","","NA")</f>
        <v/>
      </c>
      <c r="X101" s="165" t="str">
        <f>IF(Table2[[#This Row],[Counter Number]]="","",Table1[[#This Row],[Engine Horsepower (HP):]])</f>
        <v/>
      </c>
      <c r="Y101" s="165" t="str">
        <f>IF(Table2[[#This Row],[Counter Number]]="","",Table1[[#This Row],[Engine Cylinder Displacement (L):]]&amp;" L")</f>
        <v/>
      </c>
      <c r="Z101" s="165" t="str">
        <f>IF(Table2[[#This Row],[Counter Number]]="","",Table1[[#This Row],[Engine Number of Cylinders:]])</f>
        <v/>
      </c>
      <c r="AA101" s="166" t="str">
        <f>IF(Table2[[#This Row],[Counter Number]]="","",Table1[[#This Row],[Engine Family Name:]])</f>
        <v/>
      </c>
      <c r="AB101" s="60" t="str">
        <f>IF(Table2[[#This Row],[Counter Number]]="","","ULSD")</f>
        <v/>
      </c>
      <c r="AC101" s="167" t="str">
        <f>IF(Table2[[#This Row],[Counter Number]]="","",Table2[[#This Row],[Annual Miles Traveled:]]/Table1[[#This Row],[Old Fuel (mpg)]])</f>
        <v/>
      </c>
      <c r="AD101" s="60" t="str">
        <f>IF(Table2[[#This Row],[Counter Number]]="","","NA")</f>
        <v/>
      </c>
      <c r="AE101" s="168" t="str">
        <f>IF(Table2[[#This Row],[Counter Number]]="","",Table1[[#This Row],[Annual Miles Traveled]])</f>
        <v/>
      </c>
      <c r="AF101" s="169" t="str">
        <f>IF(Table2[[#This Row],[Counter Number]]="","",Table1[[#This Row],[Annual Idling Hours:]])</f>
        <v/>
      </c>
      <c r="AG101" s="60" t="str">
        <f>IF(Table2[[#This Row],[Counter Number]]="","","NA")</f>
        <v/>
      </c>
      <c r="AH101" s="165" t="str">
        <f>IF(Table2[[#This Row],[Counter Number]]="","",IF(Application!$J$25="Set Policy",Table1[[#This Row],[Remaining Life (years)         Set Policy]],Table1[[#This Row],[Remaining Life (years)               Case-by-Case]]))</f>
        <v/>
      </c>
      <c r="AI101" s="165" t="str">
        <f>IF(Table2[[#This Row],[Counter Number]]="","",IF(Application!$J$25="Case-by-Case","NA",Table2[[#This Row],[Fiscal Year of EPA Funds Used:]]+Table2[[#This Row],[Remaining Life:]]))</f>
        <v/>
      </c>
      <c r="AJ101" s="165"/>
      <c r="AK101" s="170" t="str">
        <f>IF(Table2[[#This Row],[Counter Number]]="","",Application!$D$14+1)</f>
        <v/>
      </c>
      <c r="AL101" s="60" t="str">
        <f>IF(Table2[[#This Row],[Counter Number]]="","","Vehicle Replacement")</f>
        <v/>
      </c>
      <c r="AM10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1" s="171" t="str">
        <f>IF(Table2[[#This Row],[Counter Number]]="","",Table1[[#This Row],[Cost of New Bus:]])</f>
        <v/>
      </c>
      <c r="AO101" s="60" t="str">
        <f>IF(Table2[[#This Row],[Counter Number]]="","","NA")</f>
        <v/>
      </c>
      <c r="AP101" s="165" t="str">
        <f>IF(Table2[[#This Row],[Counter Number]]="","",Table1[[#This Row],[New Engine Model Year:]])</f>
        <v/>
      </c>
      <c r="AQ101" s="60" t="str">
        <f>IF(Table2[[#This Row],[Counter Number]]="","","NA")</f>
        <v/>
      </c>
      <c r="AR101" s="165" t="str">
        <f>IF(Table2[[#This Row],[Counter Number]]="","",Table1[[#This Row],[New Engine Horsepower (HP):]])</f>
        <v/>
      </c>
      <c r="AS101" s="60" t="str">
        <f>IF(Table2[[#This Row],[Counter Number]]="","","NA")</f>
        <v/>
      </c>
      <c r="AT101" s="165" t="str">
        <f>IF(Table2[[#This Row],[Counter Number]]="","",Table1[[#This Row],[New Engine Cylinder Displacement (L):]]&amp;" L")</f>
        <v/>
      </c>
      <c r="AU101" s="114" t="str">
        <f>IF(Table2[[#This Row],[Counter Number]]="","",Table1[[#This Row],[New Engine Number of Cylinders:]])</f>
        <v/>
      </c>
      <c r="AV101" s="60" t="str">
        <f>IF(Table2[[#This Row],[Counter Number]]="","",Table1[[#This Row],[New Engine Family Name:]])</f>
        <v/>
      </c>
      <c r="AW10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1" s="60" t="str">
        <f>IF(Table2[[#This Row],[Counter Number]]="","","NA")</f>
        <v/>
      </c>
      <c r="AY101" s="172" t="str">
        <f>IF(Table2[[#This Row],[Counter Number]]="","",IF(Table2[[#This Row],[New Engine Fuel Type:]]="ULSD",Table1[[#This Row],[Annual Miles Traveled]]/Table1[[#This Row],[New Fuel (mpg) if Diesel]],""))</f>
        <v/>
      </c>
      <c r="AZ101" s="60"/>
      <c r="BA101" s="173" t="str">
        <f>IF(Table2[[#This Row],[Counter Number]]="","",Table2[[#This Row],[Annual Miles Traveled:]]*VLOOKUP(Table2[[#This Row],[Engine Model Year:]],EFTable[],3,FALSE))</f>
        <v/>
      </c>
      <c r="BB101" s="173" t="str">
        <f>IF(Table2[[#This Row],[Counter Number]]="","",Table2[[#This Row],[Annual Miles Traveled:]]*IF(Table2[[#This Row],[New Engine Fuel Type:]]="ULSD",VLOOKUP(Table2[[#This Row],[New Engine Model Year:]],EFTable[],3,FALSE),VLOOKUP(Table2[[#This Row],[New Engine Fuel Type:]],EFTable[],3,FALSE)))</f>
        <v/>
      </c>
      <c r="BC101" s="187" t="str">
        <f>IF(Table2[[#This Row],[Counter Number]]="","",Table2[[#This Row],[Old Bus NOx Emissions (tons/yr)]]-Table2[[#This Row],[New Bus NOx Emissions (tons/yr)]])</f>
        <v/>
      </c>
      <c r="BD101" s="188" t="str">
        <f>IF(Table2[[#This Row],[Counter Number]]="","",Table2[[#This Row],[Reduction Bus NOx Emissions (tons/yr)]]/Table2[[#This Row],[Old Bus NOx Emissions (tons/yr)]])</f>
        <v/>
      </c>
      <c r="BE101" s="175" t="str">
        <f>IF(Table2[[#This Row],[Counter Number]]="","",Table2[[#This Row],[Reduction Bus NOx Emissions (tons/yr)]]*Table2[[#This Row],[Remaining Life:]])</f>
        <v/>
      </c>
      <c r="BF101" s="189" t="str">
        <f>IF(Table2[[#This Row],[Counter Number]]="","",IF(Table2[[#This Row],[Lifetime NOx Reduction (tons)]]=0,"NA",Table2[[#This Row],[Upgrade Cost Per Unit]]/Table2[[#This Row],[Lifetime NOx Reduction (tons)]]))</f>
        <v/>
      </c>
      <c r="BG101" s="190" t="str">
        <f>IF(Table2[[#This Row],[Counter Number]]="","",Table2[[#This Row],[Annual Miles Traveled:]]*VLOOKUP(Table2[[#This Row],[Engine Model Year:]],EF!$A$2:$G$27,4,FALSE))</f>
        <v/>
      </c>
      <c r="BH101" s="173" t="str">
        <f>IF(Table2[[#This Row],[Counter Number]]="","",Table2[[#This Row],[Annual Miles Traveled:]]*IF(Table2[[#This Row],[New Engine Fuel Type:]]="ULSD",VLOOKUP(Table2[[#This Row],[New Engine Model Year:]],EFTable[],4,FALSE),VLOOKUP(Table2[[#This Row],[New Engine Fuel Type:]],EFTable[],4,FALSE)))</f>
        <v/>
      </c>
      <c r="BI101" s="191" t="str">
        <f>IF(Table2[[#This Row],[Counter Number]]="","",Table2[[#This Row],[Old Bus PM2.5 Emissions (tons/yr)]]-Table2[[#This Row],[New Bus PM2.5 Emissions (tons/yr)]])</f>
        <v/>
      </c>
      <c r="BJ101" s="192" t="str">
        <f>IF(Table2[[#This Row],[Counter Number]]="","",Table2[[#This Row],[Reduction Bus PM2.5 Emissions (tons/yr)]]/Table2[[#This Row],[Old Bus PM2.5 Emissions (tons/yr)]])</f>
        <v/>
      </c>
      <c r="BK101" s="193" t="str">
        <f>IF(Table2[[#This Row],[Counter Number]]="","",Table2[[#This Row],[Reduction Bus PM2.5 Emissions (tons/yr)]]*Table2[[#This Row],[Remaining Life:]])</f>
        <v/>
      </c>
      <c r="BL101" s="194" t="str">
        <f>IF(Table2[[#This Row],[Counter Number]]="","",IF(Table2[[#This Row],[Lifetime PM2.5 Reduction (tons)]]=0,"NA",Table2[[#This Row],[Upgrade Cost Per Unit]]/Table2[[#This Row],[Lifetime PM2.5 Reduction (tons)]]))</f>
        <v/>
      </c>
      <c r="BM101" s="179" t="str">
        <f>IF(Table2[[#This Row],[Counter Number]]="","",Table2[[#This Row],[Annual Miles Traveled:]]*VLOOKUP(Table2[[#This Row],[Engine Model Year:]],EF!$A$2:$G$40,5,FALSE))</f>
        <v/>
      </c>
      <c r="BN101" s="173" t="str">
        <f>IF(Table2[[#This Row],[Counter Number]]="","",Table2[[#This Row],[Annual Miles Traveled:]]*IF(Table2[[#This Row],[New Engine Fuel Type:]]="ULSD",VLOOKUP(Table2[[#This Row],[New Engine Model Year:]],EFTable[],5,FALSE),VLOOKUP(Table2[[#This Row],[New Engine Fuel Type:]],EFTable[],5,FALSE)))</f>
        <v/>
      </c>
      <c r="BO101" s="190" t="str">
        <f>IF(Table2[[#This Row],[Counter Number]]="","",Table2[[#This Row],[Old Bus HC Emissions (tons/yr)]]-Table2[[#This Row],[New Bus HC Emissions (tons/yr)]])</f>
        <v/>
      </c>
      <c r="BP101" s="188" t="str">
        <f>IF(Table2[[#This Row],[Counter Number]]="","",Table2[[#This Row],[Reduction Bus HC Emissions (tons/yr)]]/Table2[[#This Row],[Old Bus HC Emissions (tons/yr)]])</f>
        <v/>
      </c>
      <c r="BQ101" s="193" t="str">
        <f>IF(Table2[[#This Row],[Counter Number]]="","",Table2[[#This Row],[Reduction Bus HC Emissions (tons/yr)]]*Table2[[#This Row],[Remaining Life:]])</f>
        <v/>
      </c>
      <c r="BR101" s="194" t="str">
        <f>IF(Table2[[#This Row],[Counter Number]]="","",IF(Table2[[#This Row],[Lifetime HC Reduction (tons)]]=0,"NA",Table2[[#This Row],[Upgrade Cost Per Unit]]/Table2[[#This Row],[Lifetime HC Reduction (tons)]]))</f>
        <v/>
      </c>
      <c r="BS101" s="191" t="str">
        <f>IF(Table2[[#This Row],[Counter Number]]="","",Table2[[#This Row],[Annual Miles Traveled:]]*VLOOKUP(Table2[[#This Row],[Engine Model Year:]],EF!$A$2:$G$27,6,FALSE))</f>
        <v/>
      </c>
      <c r="BT101" s="173" t="str">
        <f>IF(Table2[[#This Row],[Counter Number]]="","",Table2[[#This Row],[Annual Miles Traveled:]]*IF(Table2[[#This Row],[New Engine Fuel Type:]]="ULSD",VLOOKUP(Table2[[#This Row],[New Engine Model Year:]],EFTable[],6,FALSE),VLOOKUP(Table2[[#This Row],[New Engine Fuel Type:]],EFTable[],6,FALSE)))</f>
        <v/>
      </c>
      <c r="BU101" s="190" t="str">
        <f>IF(Table2[[#This Row],[Counter Number]]="","",Table2[[#This Row],[Old Bus CO Emissions (tons/yr)]]-Table2[[#This Row],[New Bus CO Emissions (tons/yr)]])</f>
        <v/>
      </c>
      <c r="BV101" s="188" t="str">
        <f>IF(Table2[[#This Row],[Counter Number]]="","",Table2[[#This Row],[Reduction Bus CO Emissions (tons/yr)]]/Table2[[#This Row],[Old Bus CO Emissions (tons/yr)]])</f>
        <v/>
      </c>
      <c r="BW101" s="193" t="str">
        <f>IF(Table2[[#This Row],[Counter Number]]="","",Table2[[#This Row],[Reduction Bus CO Emissions (tons/yr)]]*Table2[[#This Row],[Remaining Life:]])</f>
        <v/>
      </c>
      <c r="BX101" s="194" t="str">
        <f>IF(Table2[[#This Row],[Counter Number]]="","",IF(Table2[[#This Row],[Lifetime CO Reduction (tons)]]=0,"NA",Table2[[#This Row],[Upgrade Cost Per Unit]]/Table2[[#This Row],[Lifetime CO Reduction (tons)]]))</f>
        <v/>
      </c>
      <c r="BY101" s="180" t="str">
        <f>IF(Table2[[#This Row],[Counter Number]]="","",Table2[[#This Row],[Old ULSD Used (gal):]]*VLOOKUP(Table2[[#This Row],[Engine Model Year:]],EF!$A$2:$G$27,7,FALSE))</f>
        <v/>
      </c>
      <c r="BZ10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1" s="195" t="str">
        <f>IF(Table2[[#This Row],[Counter Number]]="","",Table2[[#This Row],[Old Bus CO2 Emissions (tons/yr)]]-Table2[[#This Row],[New Bus CO2 Emissions (tons/yr)]])</f>
        <v/>
      </c>
      <c r="CB101" s="188" t="str">
        <f>IF(Table2[[#This Row],[Counter Number]]="","",Table2[[#This Row],[Reduction Bus CO2 Emissions (tons/yr)]]/Table2[[#This Row],[Old Bus CO2 Emissions (tons/yr)]])</f>
        <v/>
      </c>
      <c r="CC101" s="195" t="str">
        <f>IF(Table2[[#This Row],[Counter Number]]="","",Table2[[#This Row],[Reduction Bus CO2 Emissions (tons/yr)]]*Table2[[#This Row],[Remaining Life:]])</f>
        <v/>
      </c>
      <c r="CD101" s="194" t="str">
        <f>IF(Table2[[#This Row],[Counter Number]]="","",IF(Table2[[#This Row],[Lifetime CO2 Reduction (tons)]]=0,"NA",Table2[[#This Row],[Upgrade Cost Per Unit]]/Table2[[#This Row],[Lifetime CO2 Reduction (tons)]]))</f>
        <v/>
      </c>
      <c r="CE101" s="182" t="str">
        <f>IF(Table2[[#This Row],[Counter Number]]="","",IF(Table2[[#This Row],[New ULSD Used (gal):]]="",Table2[[#This Row],[Old ULSD Used (gal):]],Table2[[#This Row],[Old ULSD Used (gal):]]-Table2[[#This Row],[New ULSD Used (gal):]]))</f>
        <v/>
      </c>
      <c r="CF101" s="196" t="str">
        <f>IF(Table2[[#This Row],[Counter Number]]="","",Table2[[#This Row],[Diesel Fuel Reduction (gal/yr)]]/Table2[[#This Row],[Old ULSD Used (gal):]])</f>
        <v/>
      </c>
      <c r="CG101" s="197" t="str">
        <f>IF(Table2[[#This Row],[Counter Number]]="","",Table2[[#This Row],[Diesel Fuel Reduction (gal/yr)]]*Table2[[#This Row],[Remaining Life:]])</f>
        <v/>
      </c>
    </row>
    <row r="102" spans="1:85">
      <c r="A102" s="184" t="str">
        <f>IF(A101&lt;Application!$D$24,A101+1,"")</f>
        <v/>
      </c>
      <c r="B102" s="60" t="str">
        <f>IF(Table2[[#This Row],[Counter Number]]="","",Application!$D$16)</f>
        <v/>
      </c>
      <c r="C102" s="60" t="str">
        <f>IF(Table2[[#This Row],[Counter Number]]="","",Application!$D$14)</f>
        <v/>
      </c>
      <c r="D102" s="60" t="str">
        <f>IF(Table2[[#This Row],[Counter Number]]="","",Table1[[#This Row],[Old Bus Number]])</f>
        <v/>
      </c>
      <c r="E102" s="60" t="str">
        <f>IF(Table2[[#This Row],[Counter Number]]="","",Application!$D$15)</f>
        <v/>
      </c>
      <c r="F102" s="60" t="str">
        <f>IF(Table2[[#This Row],[Counter Number]]="","","On Highway")</f>
        <v/>
      </c>
      <c r="G102" s="60" t="str">
        <f>IF(Table2[[#This Row],[Counter Number]]="","",I102)</f>
        <v/>
      </c>
      <c r="H102" s="60" t="str">
        <f>IF(Table2[[#This Row],[Counter Number]]="","","Georgia")</f>
        <v/>
      </c>
      <c r="I102" s="60" t="str">
        <f>IF(Table2[[#This Row],[Counter Number]]="","",Application!$D$16)</f>
        <v/>
      </c>
      <c r="J102" s="60" t="str">
        <f>IF(Table2[[#This Row],[Counter Number]]="","",Application!$D$21)</f>
        <v/>
      </c>
      <c r="K102" s="60" t="str">
        <f>IF(Table2[[#This Row],[Counter Number]]="","",Application!$J$21)</f>
        <v/>
      </c>
      <c r="L102" s="60" t="str">
        <f>IF(Table2[[#This Row],[Counter Number]]="","","School Bus")</f>
        <v/>
      </c>
      <c r="M102" s="60" t="str">
        <f>IF(Table2[[#This Row],[Counter Number]]="","","School Bus")</f>
        <v/>
      </c>
      <c r="N102" s="60" t="str">
        <f>IF(Table2[[#This Row],[Counter Number]]="","",1)</f>
        <v/>
      </c>
      <c r="O102" s="60" t="str">
        <f>IF(Table2[[#This Row],[Counter Number]]="","",Table1[[#This Row],[Vehicle Identification Number(s):]])</f>
        <v/>
      </c>
      <c r="P102" s="60" t="str">
        <f>IF(Table2[[#This Row],[Counter Number]]="","",Table1[[#This Row],[Old Bus Manufacturer:]])</f>
        <v/>
      </c>
      <c r="Q102" s="60" t="str">
        <f>IF(Table2[[#This Row],[Counter Number]]="","",Table1[[#This Row],[Vehicle Model:]])</f>
        <v/>
      </c>
      <c r="R102" s="165" t="str">
        <f>IF(Table2[[#This Row],[Counter Number]]="","",Table1[[#This Row],[Vehicle Model Year:]])</f>
        <v/>
      </c>
      <c r="S102" s="60" t="str">
        <f>IF(Table2[[#This Row],[Counter Number]]="","",Table1[[#This Row],[Engine Serial Number(s):]])</f>
        <v/>
      </c>
      <c r="T102" s="60" t="str">
        <f>IF(Table2[[#This Row],[Counter Number]]="","",Table1[[#This Row],[Engine Make:]])</f>
        <v/>
      </c>
      <c r="U102" s="60" t="str">
        <f>IF(Table2[[#This Row],[Counter Number]]="","",Table1[[#This Row],[Engine Model:]])</f>
        <v/>
      </c>
      <c r="V102" s="165" t="str">
        <f>IF(Table2[[#This Row],[Counter Number]]="","",Table1[[#This Row],[Engine Model Year:]])</f>
        <v/>
      </c>
      <c r="W102" s="60" t="str">
        <f>IF(Table2[[#This Row],[Counter Number]]="","","NA")</f>
        <v/>
      </c>
      <c r="X102" s="165" t="str">
        <f>IF(Table2[[#This Row],[Counter Number]]="","",Table1[[#This Row],[Engine Horsepower (HP):]])</f>
        <v/>
      </c>
      <c r="Y102" s="165" t="str">
        <f>IF(Table2[[#This Row],[Counter Number]]="","",Table1[[#This Row],[Engine Cylinder Displacement (L):]]&amp;" L")</f>
        <v/>
      </c>
      <c r="Z102" s="165" t="str">
        <f>IF(Table2[[#This Row],[Counter Number]]="","",Table1[[#This Row],[Engine Number of Cylinders:]])</f>
        <v/>
      </c>
      <c r="AA102" s="166" t="str">
        <f>IF(Table2[[#This Row],[Counter Number]]="","",Table1[[#This Row],[Engine Family Name:]])</f>
        <v/>
      </c>
      <c r="AB102" s="60" t="str">
        <f>IF(Table2[[#This Row],[Counter Number]]="","","ULSD")</f>
        <v/>
      </c>
      <c r="AC102" s="167" t="str">
        <f>IF(Table2[[#This Row],[Counter Number]]="","",Table2[[#This Row],[Annual Miles Traveled:]]/Table1[[#This Row],[Old Fuel (mpg)]])</f>
        <v/>
      </c>
      <c r="AD102" s="60" t="str">
        <f>IF(Table2[[#This Row],[Counter Number]]="","","NA")</f>
        <v/>
      </c>
      <c r="AE102" s="168" t="str">
        <f>IF(Table2[[#This Row],[Counter Number]]="","",Table1[[#This Row],[Annual Miles Traveled]])</f>
        <v/>
      </c>
      <c r="AF102" s="169" t="str">
        <f>IF(Table2[[#This Row],[Counter Number]]="","",Table1[[#This Row],[Annual Idling Hours:]])</f>
        <v/>
      </c>
      <c r="AG102" s="60" t="str">
        <f>IF(Table2[[#This Row],[Counter Number]]="","","NA")</f>
        <v/>
      </c>
      <c r="AH102" s="165" t="str">
        <f>IF(Table2[[#This Row],[Counter Number]]="","",IF(Application!$J$25="Set Policy",Table1[[#This Row],[Remaining Life (years)         Set Policy]],Table1[[#This Row],[Remaining Life (years)               Case-by-Case]]))</f>
        <v/>
      </c>
      <c r="AI102" s="165" t="str">
        <f>IF(Table2[[#This Row],[Counter Number]]="","",IF(Application!$J$25="Case-by-Case","NA",Table2[[#This Row],[Fiscal Year of EPA Funds Used:]]+Table2[[#This Row],[Remaining Life:]]))</f>
        <v/>
      </c>
      <c r="AJ102" s="165"/>
      <c r="AK102" s="170" t="str">
        <f>IF(Table2[[#This Row],[Counter Number]]="","",Application!$D$14+1)</f>
        <v/>
      </c>
      <c r="AL102" s="60" t="str">
        <f>IF(Table2[[#This Row],[Counter Number]]="","","Vehicle Replacement")</f>
        <v/>
      </c>
      <c r="AM10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2" s="171" t="str">
        <f>IF(Table2[[#This Row],[Counter Number]]="","",Table1[[#This Row],[Cost of New Bus:]])</f>
        <v/>
      </c>
      <c r="AO102" s="60" t="str">
        <f>IF(Table2[[#This Row],[Counter Number]]="","","NA")</f>
        <v/>
      </c>
      <c r="AP102" s="165" t="str">
        <f>IF(Table2[[#This Row],[Counter Number]]="","",Table1[[#This Row],[New Engine Model Year:]])</f>
        <v/>
      </c>
      <c r="AQ102" s="60" t="str">
        <f>IF(Table2[[#This Row],[Counter Number]]="","","NA")</f>
        <v/>
      </c>
      <c r="AR102" s="165" t="str">
        <f>IF(Table2[[#This Row],[Counter Number]]="","",Table1[[#This Row],[New Engine Horsepower (HP):]])</f>
        <v/>
      </c>
      <c r="AS102" s="60" t="str">
        <f>IF(Table2[[#This Row],[Counter Number]]="","","NA")</f>
        <v/>
      </c>
      <c r="AT102" s="165" t="str">
        <f>IF(Table2[[#This Row],[Counter Number]]="","",Table1[[#This Row],[New Engine Cylinder Displacement (L):]]&amp;" L")</f>
        <v/>
      </c>
      <c r="AU102" s="114" t="str">
        <f>IF(Table2[[#This Row],[Counter Number]]="","",Table1[[#This Row],[New Engine Number of Cylinders:]])</f>
        <v/>
      </c>
      <c r="AV102" s="60" t="str">
        <f>IF(Table2[[#This Row],[Counter Number]]="","",Table1[[#This Row],[New Engine Family Name:]])</f>
        <v/>
      </c>
      <c r="AW10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2" s="60" t="str">
        <f>IF(Table2[[#This Row],[Counter Number]]="","","NA")</f>
        <v/>
      </c>
      <c r="AY102" s="172" t="str">
        <f>IF(Table2[[#This Row],[Counter Number]]="","",IF(Table2[[#This Row],[New Engine Fuel Type:]]="ULSD",Table1[[#This Row],[Annual Miles Traveled]]/Table1[[#This Row],[New Fuel (mpg) if Diesel]],""))</f>
        <v/>
      </c>
      <c r="AZ102" s="60"/>
      <c r="BA102" s="173" t="str">
        <f>IF(Table2[[#This Row],[Counter Number]]="","",Table2[[#This Row],[Annual Miles Traveled:]]*VLOOKUP(Table2[[#This Row],[Engine Model Year:]],EFTable[],3,FALSE))</f>
        <v/>
      </c>
      <c r="BB102" s="173" t="str">
        <f>IF(Table2[[#This Row],[Counter Number]]="","",Table2[[#This Row],[Annual Miles Traveled:]]*IF(Table2[[#This Row],[New Engine Fuel Type:]]="ULSD",VLOOKUP(Table2[[#This Row],[New Engine Model Year:]],EFTable[],3,FALSE),VLOOKUP(Table2[[#This Row],[New Engine Fuel Type:]],EFTable[],3,FALSE)))</f>
        <v/>
      </c>
      <c r="BC102" s="187" t="str">
        <f>IF(Table2[[#This Row],[Counter Number]]="","",Table2[[#This Row],[Old Bus NOx Emissions (tons/yr)]]-Table2[[#This Row],[New Bus NOx Emissions (tons/yr)]])</f>
        <v/>
      </c>
      <c r="BD102" s="188" t="str">
        <f>IF(Table2[[#This Row],[Counter Number]]="","",Table2[[#This Row],[Reduction Bus NOx Emissions (tons/yr)]]/Table2[[#This Row],[Old Bus NOx Emissions (tons/yr)]])</f>
        <v/>
      </c>
      <c r="BE102" s="175" t="str">
        <f>IF(Table2[[#This Row],[Counter Number]]="","",Table2[[#This Row],[Reduction Bus NOx Emissions (tons/yr)]]*Table2[[#This Row],[Remaining Life:]])</f>
        <v/>
      </c>
      <c r="BF102" s="189" t="str">
        <f>IF(Table2[[#This Row],[Counter Number]]="","",IF(Table2[[#This Row],[Lifetime NOx Reduction (tons)]]=0,"NA",Table2[[#This Row],[Upgrade Cost Per Unit]]/Table2[[#This Row],[Lifetime NOx Reduction (tons)]]))</f>
        <v/>
      </c>
      <c r="BG102" s="190" t="str">
        <f>IF(Table2[[#This Row],[Counter Number]]="","",Table2[[#This Row],[Annual Miles Traveled:]]*VLOOKUP(Table2[[#This Row],[Engine Model Year:]],EF!$A$2:$G$27,4,FALSE))</f>
        <v/>
      </c>
      <c r="BH102" s="173" t="str">
        <f>IF(Table2[[#This Row],[Counter Number]]="","",Table2[[#This Row],[Annual Miles Traveled:]]*IF(Table2[[#This Row],[New Engine Fuel Type:]]="ULSD",VLOOKUP(Table2[[#This Row],[New Engine Model Year:]],EFTable[],4,FALSE),VLOOKUP(Table2[[#This Row],[New Engine Fuel Type:]],EFTable[],4,FALSE)))</f>
        <v/>
      </c>
      <c r="BI102" s="191" t="str">
        <f>IF(Table2[[#This Row],[Counter Number]]="","",Table2[[#This Row],[Old Bus PM2.5 Emissions (tons/yr)]]-Table2[[#This Row],[New Bus PM2.5 Emissions (tons/yr)]])</f>
        <v/>
      </c>
      <c r="BJ102" s="192" t="str">
        <f>IF(Table2[[#This Row],[Counter Number]]="","",Table2[[#This Row],[Reduction Bus PM2.5 Emissions (tons/yr)]]/Table2[[#This Row],[Old Bus PM2.5 Emissions (tons/yr)]])</f>
        <v/>
      </c>
      <c r="BK102" s="193" t="str">
        <f>IF(Table2[[#This Row],[Counter Number]]="","",Table2[[#This Row],[Reduction Bus PM2.5 Emissions (tons/yr)]]*Table2[[#This Row],[Remaining Life:]])</f>
        <v/>
      </c>
      <c r="BL102" s="194" t="str">
        <f>IF(Table2[[#This Row],[Counter Number]]="","",IF(Table2[[#This Row],[Lifetime PM2.5 Reduction (tons)]]=0,"NA",Table2[[#This Row],[Upgrade Cost Per Unit]]/Table2[[#This Row],[Lifetime PM2.5 Reduction (tons)]]))</f>
        <v/>
      </c>
      <c r="BM102" s="179" t="str">
        <f>IF(Table2[[#This Row],[Counter Number]]="","",Table2[[#This Row],[Annual Miles Traveled:]]*VLOOKUP(Table2[[#This Row],[Engine Model Year:]],EF!$A$2:$G$40,5,FALSE))</f>
        <v/>
      </c>
      <c r="BN102" s="173" t="str">
        <f>IF(Table2[[#This Row],[Counter Number]]="","",Table2[[#This Row],[Annual Miles Traveled:]]*IF(Table2[[#This Row],[New Engine Fuel Type:]]="ULSD",VLOOKUP(Table2[[#This Row],[New Engine Model Year:]],EFTable[],5,FALSE),VLOOKUP(Table2[[#This Row],[New Engine Fuel Type:]],EFTable[],5,FALSE)))</f>
        <v/>
      </c>
      <c r="BO102" s="190" t="str">
        <f>IF(Table2[[#This Row],[Counter Number]]="","",Table2[[#This Row],[Old Bus HC Emissions (tons/yr)]]-Table2[[#This Row],[New Bus HC Emissions (tons/yr)]])</f>
        <v/>
      </c>
      <c r="BP102" s="188" t="str">
        <f>IF(Table2[[#This Row],[Counter Number]]="","",Table2[[#This Row],[Reduction Bus HC Emissions (tons/yr)]]/Table2[[#This Row],[Old Bus HC Emissions (tons/yr)]])</f>
        <v/>
      </c>
      <c r="BQ102" s="193" t="str">
        <f>IF(Table2[[#This Row],[Counter Number]]="","",Table2[[#This Row],[Reduction Bus HC Emissions (tons/yr)]]*Table2[[#This Row],[Remaining Life:]])</f>
        <v/>
      </c>
      <c r="BR102" s="194" t="str">
        <f>IF(Table2[[#This Row],[Counter Number]]="","",IF(Table2[[#This Row],[Lifetime HC Reduction (tons)]]=0,"NA",Table2[[#This Row],[Upgrade Cost Per Unit]]/Table2[[#This Row],[Lifetime HC Reduction (tons)]]))</f>
        <v/>
      </c>
      <c r="BS102" s="191" t="str">
        <f>IF(Table2[[#This Row],[Counter Number]]="","",Table2[[#This Row],[Annual Miles Traveled:]]*VLOOKUP(Table2[[#This Row],[Engine Model Year:]],EF!$A$2:$G$27,6,FALSE))</f>
        <v/>
      </c>
      <c r="BT102" s="173" t="str">
        <f>IF(Table2[[#This Row],[Counter Number]]="","",Table2[[#This Row],[Annual Miles Traveled:]]*IF(Table2[[#This Row],[New Engine Fuel Type:]]="ULSD",VLOOKUP(Table2[[#This Row],[New Engine Model Year:]],EFTable[],6,FALSE),VLOOKUP(Table2[[#This Row],[New Engine Fuel Type:]],EFTable[],6,FALSE)))</f>
        <v/>
      </c>
      <c r="BU102" s="190" t="str">
        <f>IF(Table2[[#This Row],[Counter Number]]="","",Table2[[#This Row],[Old Bus CO Emissions (tons/yr)]]-Table2[[#This Row],[New Bus CO Emissions (tons/yr)]])</f>
        <v/>
      </c>
      <c r="BV102" s="188" t="str">
        <f>IF(Table2[[#This Row],[Counter Number]]="","",Table2[[#This Row],[Reduction Bus CO Emissions (tons/yr)]]/Table2[[#This Row],[Old Bus CO Emissions (tons/yr)]])</f>
        <v/>
      </c>
      <c r="BW102" s="193" t="str">
        <f>IF(Table2[[#This Row],[Counter Number]]="","",Table2[[#This Row],[Reduction Bus CO Emissions (tons/yr)]]*Table2[[#This Row],[Remaining Life:]])</f>
        <v/>
      </c>
      <c r="BX102" s="194" t="str">
        <f>IF(Table2[[#This Row],[Counter Number]]="","",IF(Table2[[#This Row],[Lifetime CO Reduction (tons)]]=0,"NA",Table2[[#This Row],[Upgrade Cost Per Unit]]/Table2[[#This Row],[Lifetime CO Reduction (tons)]]))</f>
        <v/>
      </c>
      <c r="BY102" s="180" t="str">
        <f>IF(Table2[[#This Row],[Counter Number]]="","",Table2[[#This Row],[Old ULSD Used (gal):]]*VLOOKUP(Table2[[#This Row],[Engine Model Year:]],EF!$A$2:$G$27,7,FALSE))</f>
        <v/>
      </c>
      <c r="BZ10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2" s="195" t="str">
        <f>IF(Table2[[#This Row],[Counter Number]]="","",Table2[[#This Row],[Old Bus CO2 Emissions (tons/yr)]]-Table2[[#This Row],[New Bus CO2 Emissions (tons/yr)]])</f>
        <v/>
      </c>
      <c r="CB102" s="188" t="str">
        <f>IF(Table2[[#This Row],[Counter Number]]="","",Table2[[#This Row],[Reduction Bus CO2 Emissions (tons/yr)]]/Table2[[#This Row],[Old Bus CO2 Emissions (tons/yr)]])</f>
        <v/>
      </c>
      <c r="CC102" s="195" t="str">
        <f>IF(Table2[[#This Row],[Counter Number]]="","",Table2[[#This Row],[Reduction Bus CO2 Emissions (tons/yr)]]*Table2[[#This Row],[Remaining Life:]])</f>
        <v/>
      </c>
      <c r="CD102" s="194" t="str">
        <f>IF(Table2[[#This Row],[Counter Number]]="","",IF(Table2[[#This Row],[Lifetime CO2 Reduction (tons)]]=0,"NA",Table2[[#This Row],[Upgrade Cost Per Unit]]/Table2[[#This Row],[Lifetime CO2 Reduction (tons)]]))</f>
        <v/>
      </c>
      <c r="CE102" s="182" t="str">
        <f>IF(Table2[[#This Row],[Counter Number]]="","",IF(Table2[[#This Row],[New ULSD Used (gal):]]="",Table2[[#This Row],[Old ULSD Used (gal):]],Table2[[#This Row],[Old ULSD Used (gal):]]-Table2[[#This Row],[New ULSD Used (gal):]]))</f>
        <v/>
      </c>
      <c r="CF102" s="196" t="str">
        <f>IF(Table2[[#This Row],[Counter Number]]="","",Table2[[#This Row],[Diesel Fuel Reduction (gal/yr)]]/Table2[[#This Row],[Old ULSD Used (gal):]])</f>
        <v/>
      </c>
      <c r="CG102" s="197" t="str">
        <f>IF(Table2[[#This Row],[Counter Number]]="","",Table2[[#This Row],[Diesel Fuel Reduction (gal/yr)]]*Table2[[#This Row],[Remaining Life:]])</f>
        <v/>
      </c>
    </row>
    <row r="103" spans="1:85">
      <c r="A103" s="184" t="str">
        <f>IF(A102&lt;Application!$D$24,A102+1,"")</f>
        <v/>
      </c>
      <c r="B103" s="60" t="str">
        <f>IF(Table2[[#This Row],[Counter Number]]="","",Application!$D$16)</f>
        <v/>
      </c>
      <c r="C103" s="60" t="str">
        <f>IF(Table2[[#This Row],[Counter Number]]="","",Application!$D$14)</f>
        <v/>
      </c>
      <c r="D103" s="60" t="str">
        <f>IF(Table2[[#This Row],[Counter Number]]="","",Table1[[#This Row],[Old Bus Number]])</f>
        <v/>
      </c>
      <c r="E103" s="60" t="str">
        <f>IF(Table2[[#This Row],[Counter Number]]="","",Application!$D$15)</f>
        <v/>
      </c>
      <c r="F103" s="60" t="str">
        <f>IF(Table2[[#This Row],[Counter Number]]="","","On Highway")</f>
        <v/>
      </c>
      <c r="G103" s="60" t="str">
        <f>IF(Table2[[#This Row],[Counter Number]]="","",I103)</f>
        <v/>
      </c>
      <c r="H103" s="60" t="str">
        <f>IF(Table2[[#This Row],[Counter Number]]="","","Georgia")</f>
        <v/>
      </c>
      <c r="I103" s="60" t="str">
        <f>IF(Table2[[#This Row],[Counter Number]]="","",Application!$D$16)</f>
        <v/>
      </c>
      <c r="J103" s="60" t="str">
        <f>IF(Table2[[#This Row],[Counter Number]]="","",Application!$D$21)</f>
        <v/>
      </c>
      <c r="K103" s="60" t="str">
        <f>IF(Table2[[#This Row],[Counter Number]]="","",Application!$J$21)</f>
        <v/>
      </c>
      <c r="L103" s="60" t="str">
        <f>IF(Table2[[#This Row],[Counter Number]]="","","School Bus")</f>
        <v/>
      </c>
      <c r="M103" s="60" t="str">
        <f>IF(Table2[[#This Row],[Counter Number]]="","","School Bus")</f>
        <v/>
      </c>
      <c r="N103" s="60" t="str">
        <f>IF(Table2[[#This Row],[Counter Number]]="","",1)</f>
        <v/>
      </c>
      <c r="O103" s="60" t="str">
        <f>IF(Table2[[#This Row],[Counter Number]]="","",Table1[[#This Row],[Vehicle Identification Number(s):]])</f>
        <v/>
      </c>
      <c r="P103" s="60" t="str">
        <f>IF(Table2[[#This Row],[Counter Number]]="","",Table1[[#This Row],[Old Bus Manufacturer:]])</f>
        <v/>
      </c>
      <c r="Q103" s="60" t="str">
        <f>IF(Table2[[#This Row],[Counter Number]]="","",Table1[[#This Row],[Vehicle Model:]])</f>
        <v/>
      </c>
      <c r="R103" s="165" t="str">
        <f>IF(Table2[[#This Row],[Counter Number]]="","",Table1[[#This Row],[Vehicle Model Year:]])</f>
        <v/>
      </c>
      <c r="S103" s="60" t="str">
        <f>IF(Table2[[#This Row],[Counter Number]]="","",Table1[[#This Row],[Engine Serial Number(s):]])</f>
        <v/>
      </c>
      <c r="T103" s="60" t="str">
        <f>IF(Table2[[#This Row],[Counter Number]]="","",Table1[[#This Row],[Engine Make:]])</f>
        <v/>
      </c>
      <c r="U103" s="60" t="str">
        <f>IF(Table2[[#This Row],[Counter Number]]="","",Table1[[#This Row],[Engine Model:]])</f>
        <v/>
      </c>
      <c r="V103" s="165" t="str">
        <f>IF(Table2[[#This Row],[Counter Number]]="","",Table1[[#This Row],[Engine Model Year:]])</f>
        <v/>
      </c>
      <c r="W103" s="60" t="str">
        <f>IF(Table2[[#This Row],[Counter Number]]="","","NA")</f>
        <v/>
      </c>
      <c r="X103" s="165" t="str">
        <f>IF(Table2[[#This Row],[Counter Number]]="","",Table1[[#This Row],[Engine Horsepower (HP):]])</f>
        <v/>
      </c>
      <c r="Y103" s="165" t="str">
        <f>IF(Table2[[#This Row],[Counter Number]]="","",Table1[[#This Row],[Engine Cylinder Displacement (L):]]&amp;" L")</f>
        <v/>
      </c>
      <c r="Z103" s="165" t="str">
        <f>IF(Table2[[#This Row],[Counter Number]]="","",Table1[[#This Row],[Engine Number of Cylinders:]])</f>
        <v/>
      </c>
      <c r="AA103" s="166" t="str">
        <f>IF(Table2[[#This Row],[Counter Number]]="","",Table1[[#This Row],[Engine Family Name:]])</f>
        <v/>
      </c>
      <c r="AB103" s="60" t="str">
        <f>IF(Table2[[#This Row],[Counter Number]]="","","ULSD")</f>
        <v/>
      </c>
      <c r="AC103" s="167" t="str">
        <f>IF(Table2[[#This Row],[Counter Number]]="","",Table2[[#This Row],[Annual Miles Traveled:]]/Table1[[#This Row],[Old Fuel (mpg)]])</f>
        <v/>
      </c>
      <c r="AD103" s="60" t="str">
        <f>IF(Table2[[#This Row],[Counter Number]]="","","NA")</f>
        <v/>
      </c>
      <c r="AE103" s="168" t="str">
        <f>IF(Table2[[#This Row],[Counter Number]]="","",Table1[[#This Row],[Annual Miles Traveled]])</f>
        <v/>
      </c>
      <c r="AF103" s="169" t="str">
        <f>IF(Table2[[#This Row],[Counter Number]]="","",Table1[[#This Row],[Annual Idling Hours:]])</f>
        <v/>
      </c>
      <c r="AG103" s="60" t="str">
        <f>IF(Table2[[#This Row],[Counter Number]]="","","NA")</f>
        <v/>
      </c>
      <c r="AH103" s="165" t="str">
        <f>IF(Table2[[#This Row],[Counter Number]]="","",IF(Application!$J$25="Set Policy",Table1[[#This Row],[Remaining Life (years)         Set Policy]],Table1[[#This Row],[Remaining Life (years)               Case-by-Case]]))</f>
        <v/>
      </c>
      <c r="AI103" s="165" t="str">
        <f>IF(Table2[[#This Row],[Counter Number]]="","",IF(Application!$J$25="Case-by-Case","NA",Table2[[#This Row],[Fiscal Year of EPA Funds Used:]]+Table2[[#This Row],[Remaining Life:]]))</f>
        <v/>
      </c>
      <c r="AJ103" s="165"/>
      <c r="AK103" s="170" t="str">
        <f>IF(Table2[[#This Row],[Counter Number]]="","",Application!$D$14+1)</f>
        <v/>
      </c>
      <c r="AL103" s="60" t="str">
        <f>IF(Table2[[#This Row],[Counter Number]]="","","Vehicle Replacement")</f>
        <v/>
      </c>
      <c r="AM10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3" s="171" t="str">
        <f>IF(Table2[[#This Row],[Counter Number]]="","",Table1[[#This Row],[Cost of New Bus:]])</f>
        <v/>
      </c>
      <c r="AO103" s="60" t="str">
        <f>IF(Table2[[#This Row],[Counter Number]]="","","NA")</f>
        <v/>
      </c>
      <c r="AP103" s="165" t="str">
        <f>IF(Table2[[#This Row],[Counter Number]]="","",Table1[[#This Row],[New Engine Model Year:]])</f>
        <v/>
      </c>
      <c r="AQ103" s="60" t="str">
        <f>IF(Table2[[#This Row],[Counter Number]]="","","NA")</f>
        <v/>
      </c>
      <c r="AR103" s="165" t="str">
        <f>IF(Table2[[#This Row],[Counter Number]]="","",Table1[[#This Row],[New Engine Horsepower (HP):]])</f>
        <v/>
      </c>
      <c r="AS103" s="60" t="str">
        <f>IF(Table2[[#This Row],[Counter Number]]="","","NA")</f>
        <v/>
      </c>
      <c r="AT103" s="165" t="str">
        <f>IF(Table2[[#This Row],[Counter Number]]="","",Table1[[#This Row],[New Engine Cylinder Displacement (L):]]&amp;" L")</f>
        <v/>
      </c>
      <c r="AU103" s="114" t="str">
        <f>IF(Table2[[#This Row],[Counter Number]]="","",Table1[[#This Row],[New Engine Number of Cylinders:]])</f>
        <v/>
      </c>
      <c r="AV103" s="60" t="str">
        <f>IF(Table2[[#This Row],[Counter Number]]="","",Table1[[#This Row],[New Engine Family Name:]])</f>
        <v/>
      </c>
      <c r="AW10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3" s="60" t="str">
        <f>IF(Table2[[#This Row],[Counter Number]]="","","NA")</f>
        <v/>
      </c>
      <c r="AY103" s="172" t="str">
        <f>IF(Table2[[#This Row],[Counter Number]]="","",IF(Table2[[#This Row],[New Engine Fuel Type:]]="ULSD",Table1[[#This Row],[Annual Miles Traveled]]/Table1[[#This Row],[New Fuel (mpg) if Diesel]],""))</f>
        <v/>
      </c>
      <c r="AZ103" s="60"/>
      <c r="BA103" s="173" t="str">
        <f>IF(Table2[[#This Row],[Counter Number]]="","",Table2[[#This Row],[Annual Miles Traveled:]]*VLOOKUP(Table2[[#This Row],[Engine Model Year:]],EFTable[],3,FALSE))</f>
        <v/>
      </c>
      <c r="BB103" s="173" t="str">
        <f>IF(Table2[[#This Row],[Counter Number]]="","",Table2[[#This Row],[Annual Miles Traveled:]]*IF(Table2[[#This Row],[New Engine Fuel Type:]]="ULSD",VLOOKUP(Table2[[#This Row],[New Engine Model Year:]],EFTable[],3,FALSE),VLOOKUP(Table2[[#This Row],[New Engine Fuel Type:]],EFTable[],3,FALSE)))</f>
        <v/>
      </c>
      <c r="BC103" s="187" t="str">
        <f>IF(Table2[[#This Row],[Counter Number]]="","",Table2[[#This Row],[Old Bus NOx Emissions (tons/yr)]]-Table2[[#This Row],[New Bus NOx Emissions (tons/yr)]])</f>
        <v/>
      </c>
      <c r="BD103" s="188" t="str">
        <f>IF(Table2[[#This Row],[Counter Number]]="","",Table2[[#This Row],[Reduction Bus NOx Emissions (tons/yr)]]/Table2[[#This Row],[Old Bus NOx Emissions (tons/yr)]])</f>
        <v/>
      </c>
      <c r="BE103" s="175" t="str">
        <f>IF(Table2[[#This Row],[Counter Number]]="","",Table2[[#This Row],[Reduction Bus NOx Emissions (tons/yr)]]*Table2[[#This Row],[Remaining Life:]])</f>
        <v/>
      </c>
      <c r="BF103" s="189" t="str">
        <f>IF(Table2[[#This Row],[Counter Number]]="","",IF(Table2[[#This Row],[Lifetime NOx Reduction (tons)]]=0,"NA",Table2[[#This Row],[Upgrade Cost Per Unit]]/Table2[[#This Row],[Lifetime NOx Reduction (tons)]]))</f>
        <v/>
      </c>
      <c r="BG103" s="190" t="str">
        <f>IF(Table2[[#This Row],[Counter Number]]="","",Table2[[#This Row],[Annual Miles Traveled:]]*VLOOKUP(Table2[[#This Row],[Engine Model Year:]],EF!$A$2:$G$27,4,FALSE))</f>
        <v/>
      </c>
      <c r="BH103" s="173" t="str">
        <f>IF(Table2[[#This Row],[Counter Number]]="","",Table2[[#This Row],[Annual Miles Traveled:]]*IF(Table2[[#This Row],[New Engine Fuel Type:]]="ULSD",VLOOKUP(Table2[[#This Row],[New Engine Model Year:]],EFTable[],4,FALSE),VLOOKUP(Table2[[#This Row],[New Engine Fuel Type:]],EFTable[],4,FALSE)))</f>
        <v/>
      </c>
      <c r="BI103" s="191" t="str">
        <f>IF(Table2[[#This Row],[Counter Number]]="","",Table2[[#This Row],[Old Bus PM2.5 Emissions (tons/yr)]]-Table2[[#This Row],[New Bus PM2.5 Emissions (tons/yr)]])</f>
        <v/>
      </c>
      <c r="BJ103" s="192" t="str">
        <f>IF(Table2[[#This Row],[Counter Number]]="","",Table2[[#This Row],[Reduction Bus PM2.5 Emissions (tons/yr)]]/Table2[[#This Row],[Old Bus PM2.5 Emissions (tons/yr)]])</f>
        <v/>
      </c>
      <c r="BK103" s="193" t="str">
        <f>IF(Table2[[#This Row],[Counter Number]]="","",Table2[[#This Row],[Reduction Bus PM2.5 Emissions (tons/yr)]]*Table2[[#This Row],[Remaining Life:]])</f>
        <v/>
      </c>
      <c r="BL103" s="194" t="str">
        <f>IF(Table2[[#This Row],[Counter Number]]="","",IF(Table2[[#This Row],[Lifetime PM2.5 Reduction (tons)]]=0,"NA",Table2[[#This Row],[Upgrade Cost Per Unit]]/Table2[[#This Row],[Lifetime PM2.5 Reduction (tons)]]))</f>
        <v/>
      </c>
      <c r="BM103" s="179" t="str">
        <f>IF(Table2[[#This Row],[Counter Number]]="","",Table2[[#This Row],[Annual Miles Traveled:]]*VLOOKUP(Table2[[#This Row],[Engine Model Year:]],EF!$A$2:$G$40,5,FALSE))</f>
        <v/>
      </c>
      <c r="BN103" s="173" t="str">
        <f>IF(Table2[[#This Row],[Counter Number]]="","",Table2[[#This Row],[Annual Miles Traveled:]]*IF(Table2[[#This Row],[New Engine Fuel Type:]]="ULSD",VLOOKUP(Table2[[#This Row],[New Engine Model Year:]],EFTable[],5,FALSE),VLOOKUP(Table2[[#This Row],[New Engine Fuel Type:]],EFTable[],5,FALSE)))</f>
        <v/>
      </c>
      <c r="BO103" s="190" t="str">
        <f>IF(Table2[[#This Row],[Counter Number]]="","",Table2[[#This Row],[Old Bus HC Emissions (tons/yr)]]-Table2[[#This Row],[New Bus HC Emissions (tons/yr)]])</f>
        <v/>
      </c>
      <c r="BP103" s="188" t="str">
        <f>IF(Table2[[#This Row],[Counter Number]]="","",Table2[[#This Row],[Reduction Bus HC Emissions (tons/yr)]]/Table2[[#This Row],[Old Bus HC Emissions (tons/yr)]])</f>
        <v/>
      </c>
      <c r="BQ103" s="193" t="str">
        <f>IF(Table2[[#This Row],[Counter Number]]="","",Table2[[#This Row],[Reduction Bus HC Emissions (tons/yr)]]*Table2[[#This Row],[Remaining Life:]])</f>
        <v/>
      </c>
      <c r="BR103" s="194" t="str">
        <f>IF(Table2[[#This Row],[Counter Number]]="","",IF(Table2[[#This Row],[Lifetime HC Reduction (tons)]]=0,"NA",Table2[[#This Row],[Upgrade Cost Per Unit]]/Table2[[#This Row],[Lifetime HC Reduction (tons)]]))</f>
        <v/>
      </c>
      <c r="BS103" s="191" t="str">
        <f>IF(Table2[[#This Row],[Counter Number]]="","",Table2[[#This Row],[Annual Miles Traveled:]]*VLOOKUP(Table2[[#This Row],[Engine Model Year:]],EF!$A$2:$G$27,6,FALSE))</f>
        <v/>
      </c>
      <c r="BT103" s="173" t="str">
        <f>IF(Table2[[#This Row],[Counter Number]]="","",Table2[[#This Row],[Annual Miles Traveled:]]*IF(Table2[[#This Row],[New Engine Fuel Type:]]="ULSD",VLOOKUP(Table2[[#This Row],[New Engine Model Year:]],EFTable[],6,FALSE),VLOOKUP(Table2[[#This Row],[New Engine Fuel Type:]],EFTable[],6,FALSE)))</f>
        <v/>
      </c>
      <c r="BU103" s="190" t="str">
        <f>IF(Table2[[#This Row],[Counter Number]]="","",Table2[[#This Row],[Old Bus CO Emissions (tons/yr)]]-Table2[[#This Row],[New Bus CO Emissions (tons/yr)]])</f>
        <v/>
      </c>
      <c r="BV103" s="188" t="str">
        <f>IF(Table2[[#This Row],[Counter Number]]="","",Table2[[#This Row],[Reduction Bus CO Emissions (tons/yr)]]/Table2[[#This Row],[Old Bus CO Emissions (tons/yr)]])</f>
        <v/>
      </c>
      <c r="BW103" s="193" t="str">
        <f>IF(Table2[[#This Row],[Counter Number]]="","",Table2[[#This Row],[Reduction Bus CO Emissions (tons/yr)]]*Table2[[#This Row],[Remaining Life:]])</f>
        <v/>
      </c>
      <c r="BX103" s="194" t="str">
        <f>IF(Table2[[#This Row],[Counter Number]]="","",IF(Table2[[#This Row],[Lifetime CO Reduction (tons)]]=0,"NA",Table2[[#This Row],[Upgrade Cost Per Unit]]/Table2[[#This Row],[Lifetime CO Reduction (tons)]]))</f>
        <v/>
      </c>
      <c r="BY103" s="180" t="str">
        <f>IF(Table2[[#This Row],[Counter Number]]="","",Table2[[#This Row],[Old ULSD Used (gal):]]*VLOOKUP(Table2[[#This Row],[Engine Model Year:]],EF!$A$2:$G$27,7,FALSE))</f>
        <v/>
      </c>
      <c r="BZ10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3" s="195" t="str">
        <f>IF(Table2[[#This Row],[Counter Number]]="","",Table2[[#This Row],[Old Bus CO2 Emissions (tons/yr)]]-Table2[[#This Row],[New Bus CO2 Emissions (tons/yr)]])</f>
        <v/>
      </c>
      <c r="CB103" s="188" t="str">
        <f>IF(Table2[[#This Row],[Counter Number]]="","",Table2[[#This Row],[Reduction Bus CO2 Emissions (tons/yr)]]/Table2[[#This Row],[Old Bus CO2 Emissions (tons/yr)]])</f>
        <v/>
      </c>
      <c r="CC103" s="195" t="str">
        <f>IF(Table2[[#This Row],[Counter Number]]="","",Table2[[#This Row],[Reduction Bus CO2 Emissions (tons/yr)]]*Table2[[#This Row],[Remaining Life:]])</f>
        <v/>
      </c>
      <c r="CD103" s="194" t="str">
        <f>IF(Table2[[#This Row],[Counter Number]]="","",IF(Table2[[#This Row],[Lifetime CO2 Reduction (tons)]]=0,"NA",Table2[[#This Row],[Upgrade Cost Per Unit]]/Table2[[#This Row],[Lifetime CO2 Reduction (tons)]]))</f>
        <v/>
      </c>
      <c r="CE103" s="182" t="str">
        <f>IF(Table2[[#This Row],[Counter Number]]="","",IF(Table2[[#This Row],[New ULSD Used (gal):]]="",Table2[[#This Row],[Old ULSD Used (gal):]],Table2[[#This Row],[Old ULSD Used (gal):]]-Table2[[#This Row],[New ULSD Used (gal):]]))</f>
        <v/>
      </c>
      <c r="CF103" s="196" t="str">
        <f>IF(Table2[[#This Row],[Counter Number]]="","",Table2[[#This Row],[Diesel Fuel Reduction (gal/yr)]]/Table2[[#This Row],[Old ULSD Used (gal):]])</f>
        <v/>
      </c>
      <c r="CG103" s="197" t="str">
        <f>IF(Table2[[#This Row],[Counter Number]]="","",Table2[[#This Row],[Diesel Fuel Reduction (gal/yr)]]*Table2[[#This Row],[Remaining Life:]])</f>
        <v/>
      </c>
    </row>
    <row r="104" spans="1:85">
      <c r="A104" s="184" t="str">
        <f>IF(A103&lt;Application!$D$24,A103+1,"")</f>
        <v/>
      </c>
      <c r="B104" s="60" t="str">
        <f>IF(Table2[[#This Row],[Counter Number]]="","",Application!$D$16)</f>
        <v/>
      </c>
      <c r="C104" s="60" t="str">
        <f>IF(Table2[[#This Row],[Counter Number]]="","",Application!$D$14)</f>
        <v/>
      </c>
      <c r="D104" s="60" t="str">
        <f>IF(Table2[[#This Row],[Counter Number]]="","",Table1[[#This Row],[Old Bus Number]])</f>
        <v/>
      </c>
      <c r="E104" s="60" t="str">
        <f>IF(Table2[[#This Row],[Counter Number]]="","",Application!$D$15)</f>
        <v/>
      </c>
      <c r="F104" s="60" t="str">
        <f>IF(Table2[[#This Row],[Counter Number]]="","","On Highway")</f>
        <v/>
      </c>
      <c r="G104" s="60" t="str">
        <f>IF(Table2[[#This Row],[Counter Number]]="","",I104)</f>
        <v/>
      </c>
      <c r="H104" s="60" t="str">
        <f>IF(Table2[[#This Row],[Counter Number]]="","","Georgia")</f>
        <v/>
      </c>
      <c r="I104" s="60" t="str">
        <f>IF(Table2[[#This Row],[Counter Number]]="","",Application!$D$16)</f>
        <v/>
      </c>
      <c r="J104" s="60" t="str">
        <f>IF(Table2[[#This Row],[Counter Number]]="","",Application!$D$21)</f>
        <v/>
      </c>
      <c r="K104" s="60" t="str">
        <f>IF(Table2[[#This Row],[Counter Number]]="","",Application!$J$21)</f>
        <v/>
      </c>
      <c r="L104" s="60" t="str">
        <f>IF(Table2[[#This Row],[Counter Number]]="","","School Bus")</f>
        <v/>
      </c>
      <c r="M104" s="60" t="str">
        <f>IF(Table2[[#This Row],[Counter Number]]="","","School Bus")</f>
        <v/>
      </c>
      <c r="N104" s="60" t="str">
        <f>IF(Table2[[#This Row],[Counter Number]]="","",1)</f>
        <v/>
      </c>
      <c r="O104" s="60" t="str">
        <f>IF(Table2[[#This Row],[Counter Number]]="","",Table1[[#This Row],[Vehicle Identification Number(s):]])</f>
        <v/>
      </c>
      <c r="P104" s="60" t="str">
        <f>IF(Table2[[#This Row],[Counter Number]]="","",Table1[[#This Row],[Old Bus Manufacturer:]])</f>
        <v/>
      </c>
      <c r="Q104" s="60" t="str">
        <f>IF(Table2[[#This Row],[Counter Number]]="","",Table1[[#This Row],[Vehicle Model:]])</f>
        <v/>
      </c>
      <c r="R104" s="165" t="str">
        <f>IF(Table2[[#This Row],[Counter Number]]="","",Table1[[#This Row],[Vehicle Model Year:]])</f>
        <v/>
      </c>
      <c r="S104" s="60" t="str">
        <f>IF(Table2[[#This Row],[Counter Number]]="","",Table1[[#This Row],[Engine Serial Number(s):]])</f>
        <v/>
      </c>
      <c r="T104" s="60" t="str">
        <f>IF(Table2[[#This Row],[Counter Number]]="","",Table1[[#This Row],[Engine Make:]])</f>
        <v/>
      </c>
      <c r="U104" s="60" t="str">
        <f>IF(Table2[[#This Row],[Counter Number]]="","",Table1[[#This Row],[Engine Model:]])</f>
        <v/>
      </c>
      <c r="V104" s="165" t="str">
        <f>IF(Table2[[#This Row],[Counter Number]]="","",Table1[[#This Row],[Engine Model Year:]])</f>
        <v/>
      </c>
      <c r="W104" s="60" t="str">
        <f>IF(Table2[[#This Row],[Counter Number]]="","","NA")</f>
        <v/>
      </c>
      <c r="X104" s="165" t="str">
        <f>IF(Table2[[#This Row],[Counter Number]]="","",Table1[[#This Row],[Engine Horsepower (HP):]])</f>
        <v/>
      </c>
      <c r="Y104" s="165" t="str">
        <f>IF(Table2[[#This Row],[Counter Number]]="","",Table1[[#This Row],[Engine Cylinder Displacement (L):]]&amp;" L")</f>
        <v/>
      </c>
      <c r="Z104" s="165" t="str">
        <f>IF(Table2[[#This Row],[Counter Number]]="","",Table1[[#This Row],[Engine Number of Cylinders:]])</f>
        <v/>
      </c>
      <c r="AA104" s="166" t="str">
        <f>IF(Table2[[#This Row],[Counter Number]]="","",Table1[[#This Row],[Engine Family Name:]])</f>
        <v/>
      </c>
      <c r="AB104" s="60" t="str">
        <f>IF(Table2[[#This Row],[Counter Number]]="","","ULSD")</f>
        <v/>
      </c>
      <c r="AC104" s="167" t="str">
        <f>IF(Table2[[#This Row],[Counter Number]]="","",Table2[[#This Row],[Annual Miles Traveled:]]/Table1[[#This Row],[Old Fuel (mpg)]])</f>
        <v/>
      </c>
      <c r="AD104" s="60" t="str">
        <f>IF(Table2[[#This Row],[Counter Number]]="","","NA")</f>
        <v/>
      </c>
      <c r="AE104" s="168" t="str">
        <f>IF(Table2[[#This Row],[Counter Number]]="","",Table1[[#This Row],[Annual Miles Traveled]])</f>
        <v/>
      </c>
      <c r="AF104" s="169" t="str">
        <f>IF(Table2[[#This Row],[Counter Number]]="","",Table1[[#This Row],[Annual Idling Hours:]])</f>
        <v/>
      </c>
      <c r="AG104" s="60" t="str">
        <f>IF(Table2[[#This Row],[Counter Number]]="","","NA")</f>
        <v/>
      </c>
      <c r="AH104" s="165" t="str">
        <f>IF(Table2[[#This Row],[Counter Number]]="","",IF(Application!$J$25="Set Policy",Table1[[#This Row],[Remaining Life (years)         Set Policy]],Table1[[#This Row],[Remaining Life (years)               Case-by-Case]]))</f>
        <v/>
      </c>
      <c r="AI104" s="165" t="str">
        <f>IF(Table2[[#This Row],[Counter Number]]="","",IF(Application!$J$25="Case-by-Case","NA",Table2[[#This Row],[Fiscal Year of EPA Funds Used:]]+Table2[[#This Row],[Remaining Life:]]))</f>
        <v/>
      </c>
      <c r="AJ104" s="165"/>
      <c r="AK104" s="170" t="str">
        <f>IF(Table2[[#This Row],[Counter Number]]="","",Application!$D$14+1)</f>
        <v/>
      </c>
      <c r="AL104" s="60" t="str">
        <f>IF(Table2[[#This Row],[Counter Number]]="","","Vehicle Replacement")</f>
        <v/>
      </c>
      <c r="AM10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4" s="171" t="str">
        <f>IF(Table2[[#This Row],[Counter Number]]="","",Table1[[#This Row],[Cost of New Bus:]])</f>
        <v/>
      </c>
      <c r="AO104" s="60" t="str">
        <f>IF(Table2[[#This Row],[Counter Number]]="","","NA")</f>
        <v/>
      </c>
      <c r="AP104" s="165" t="str">
        <f>IF(Table2[[#This Row],[Counter Number]]="","",Table1[[#This Row],[New Engine Model Year:]])</f>
        <v/>
      </c>
      <c r="AQ104" s="60" t="str">
        <f>IF(Table2[[#This Row],[Counter Number]]="","","NA")</f>
        <v/>
      </c>
      <c r="AR104" s="165" t="str">
        <f>IF(Table2[[#This Row],[Counter Number]]="","",Table1[[#This Row],[New Engine Horsepower (HP):]])</f>
        <v/>
      </c>
      <c r="AS104" s="60" t="str">
        <f>IF(Table2[[#This Row],[Counter Number]]="","","NA")</f>
        <v/>
      </c>
      <c r="AT104" s="165" t="str">
        <f>IF(Table2[[#This Row],[Counter Number]]="","",Table1[[#This Row],[New Engine Cylinder Displacement (L):]]&amp;" L")</f>
        <v/>
      </c>
      <c r="AU104" s="114" t="str">
        <f>IF(Table2[[#This Row],[Counter Number]]="","",Table1[[#This Row],[New Engine Number of Cylinders:]])</f>
        <v/>
      </c>
      <c r="AV104" s="60" t="str">
        <f>IF(Table2[[#This Row],[Counter Number]]="","",Table1[[#This Row],[New Engine Family Name:]])</f>
        <v/>
      </c>
      <c r="AW10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4" s="60" t="str">
        <f>IF(Table2[[#This Row],[Counter Number]]="","","NA")</f>
        <v/>
      </c>
      <c r="AY104" s="172" t="str">
        <f>IF(Table2[[#This Row],[Counter Number]]="","",IF(Table2[[#This Row],[New Engine Fuel Type:]]="ULSD",Table1[[#This Row],[Annual Miles Traveled]]/Table1[[#This Row],[New Fuel (mpg) if Diesel]],""))</f>
        <v/>
      </c>
      <c r="AZ104" s="60"/>
      <c r="BA104" s="173" t="str">
        <f>IF(Table2[[#This Row],[Counter Number]]="","",Table2[[#This Row],[Annual Miles Traveled:]]*VLOOKUP(Table2[[#This Row],[Engine Model Year:]],EFTable[],3,FALSE))</f>
        <v/>
      </c>
      <c r="BB104" s="173" t="str">
        <f>IF(Table2[[#This Row],[Counter Number]]="","",Table2[[#This Row],[Annual Miles Traveled:]]*IF(Table2[[#This Row],[New Engine Fuel Type:]]="ULSD",VLOOKUP(Table2[[#This Row],[New Engine Model Year:]],EFTable[],3,FALSE),VLOOKUP(Table2[[#This Row],[New Engine Fuel Type:]],EFTable[],3,FALSE)))</f>
        <v/>
      </c>
      <c r="BC104" s="187" t="str">
        <f>IF(Table2[[#This Row],[Counter Number]]="","",Table2[[#This Row],[Old Bus NOx Emissions (tons/yr)]]-Table2[[#This Row],[New Bus NOx Emissions (tons/yr)]])</f>
        <v/>
      </c>
      <c r="BD104" s="188" t="str">
        <f>IF(Table2[[#This Row],[Counter Number]]="","",Table2[[#This Row],[Reduction Bus NOx Emissions (tons/yr)]]/Table2[[#This Row],[Old Bus NOx Emissions (tons/yr)]])</f>
        <v/>
      </c>
      <c r="BE104" s="175" t="str">
        <f>IF(Table2[[#This Row],[Counter Number]]="","",Table2[[#This Row],[Reduction Bus NOx Emissions (tons/yr)]]*Table2[[#This Row],[Remaining Life:]])</f>
        <v/>
      </c>
      <c r="BF104" s="189" t="str">
        <f>IF(Table2[[#This Row],[Counter Number]]="","",IF(Table2[[#This Row],[Lifetime NOx Reduction (tons)]]=0,"NA",Table2[[#This Row],[Upgrade Cost Per Unit]]/Table2[[#This Row],[Lifetime NOx Reduction (tons)]]))</f>
        <v/>
      </c>
      <c r="BG104" s="190" t="str">
        <f>IF(Table2[[#This Row],[Counter Number]]="","",Table2[[#This Row],[Annual Miles Traveled:]]*VLOOKUP(Table2[[#This Row],[Engine Model Year:]],EF!$A$2:$G$27,4,FALSE))</f>
        <v/>
      </c>
      <c r="BH104" s="173" t="str">
        <f>IF(Table2[[#This Row],[Counter Number]]="","",Table2[[#This Row],[Annual Miles Traveled:]]*IF(Table2[[#This Row],[New Engine Fuel Type:]]="ULSD",VLOOKUP(Table2[[#This Row],[New Engine Model Year:]],EFTable[],4,FALSE),VLOOKUP(Table2[[#This Row],[New Engine Fuel Type:]],EFTable[],4,FALSE)))</f>
        <v/>
      </c>
      <c r="BI104" s="191" t="str">
        <f>IF(Table2[[#This Row],[Counter Number]]="","",Table2[[#This Row],[Old Bus PM2.5 Emissions (tons/yr)]]-Table2[[#This Row],[New Bus PM2.5 Emissions (tons/yr)]])</f>
        <v/>
      </c>
      <c r="BJ104" s="192" t="str">
        <f>IF(Table2[[#This Row],[Counter Number]]="","",Table2[[#This Row],[Reduction Bus PM2.5 Emissions (tons/yr)]]/Table2[[#This Row],[Old Bus PM2.5 Emissions (tons/yr)]])</f>
        <v/>
      </c>
      <c r="BK104" s="193" t="str">
        <f>IF(Table2[[#This Row],[Counter Number]]="","",Table2[[#This Row],[Reduction Bus PM2.5 Emissions (tons/yr)]]*Table2[[#This Row],[Remaining Life:]])</f>
        <v/>
      </c>
      <c r="BL104" s="194" t="str">
        <f>IF(Table2[[#This Row],[Counter Number]]="","",IF(Table2[[#This Row],[Lifetime PM2.5 Reduction (tons)]]=0,"NA",Table2[[#This Row],[Upgrade Cost Per Unit]]/Table2[[#This Row],[Lifetime PM2.5 Reduction (tons)]]))</f>
        <v/>
      </c>
      <c r="BM104" s="179" t="str">
        <f>IF(Table2[[#This Row],[Counter Number]]="","",Table2[[#This Row],[Annual Miles Traveled:]]*VLOOKUP(Table2[[#This Row],[Engine Model Year:]],EF!$A$2:$G$40,5,FALSE))</f>
        <v/>
      </c>
      <c r="BN104" s="173" t="str">
        <f>IF(Table2[[#This Row],[Counter Number]]="","",Table2[[#This Row],[Annual Miles Traveled:]]*IF(Table2[[#This Row],[New Engine Fuel Type:]]="ULSD",VLOOKUP(Table2[[#This Row],[New Engine Model Year:]],EFTable[],5,FALSE),VLOOKUP(Table2[[#This Row],[New Engine Fuel Type:]],EFTable[],5,FALSE)))</f>
        <v/>
      </c>
      <c r="BO104" s="190" t="str">
        <f>IF(Table2[[#This Row],[Counter Number]]="","",Table2[[#This Row],[Old Bus HC Emissions (tons/yr)]]-Table2[[#This Row],[New Bus HC Emissions (tons/yr)]])</f>
        <v/>
      </c>
      <c r="BP104" s="188" t="str">
        <f>IF(Table2[[#This Row],[Counter Number]]="","",Table2[[#This Row],[Reduction Bus HC Emissions (tons/yr)]]/Table2[[#This Row],[Old Bus HC Emissions (tons/yr)]])</f>
        <v/>
      </c>
      <c r="BQ104" s="193" t="str">
        <f>IF(Table2[[#This Row],[Counter Number]]="","",Table2[[#This Row],[Reduction Bus HC Emissions (tons/yr)]]*Table2[[#This Row],[Remaining Life:]])</f>
        <v/>
      </c>
      <c r="BR104" s="194" t="str">
        <f>IF(Table2[[#This Row],[Counter Number]]="","",IF(Table2[[#This Row],[Lifetime HC Reduction (tons)]]=0,"NA",Table2[[#This Row],[Upgrade Cost Per Unit]]/Table2[[#This Row],[Lifetime HC Reduction (tons)]]))</f>
        <v/>
      </c>
      <c r="BS104" s="191" t="str">
        <f>IF(Table2[[#This Row],[Counter Number]]="","",Table2[[#This Row],[Annual Miles Traveled:]]*VLOOKUP(Table2[[#This Row],[Engine Model Year:]],EF!$A$2:$G$27,6,FALSE))</f>
        <v/>
      </c>
      <c r="BT104" s="173" t="str">
        <f>IF(Table2[[#This Row],[Counter Number]]="","",Table2[[#This Row],[Annual Miles Traveled:]]*IF(Table2[[#This Row],[New Engine Fuel Type:]]="ULSD",VLOOKUP(Table2[[#This Row],[New Engine Model Year:]],EFTable[],6,FALSE),VLOOKUP(Table2[[#This Row],[New Engine Fuel Type:]],EFTable[],6,FALSE)))</f>
        <v/>
      </c>
      <c r="BU104" s="190" t="str">
        <f>IF(Table2[[#This Row],[Counter Number]]="","",Table2[[#This Row],[Old Bus CO Emissions (tons/yr)]]-Table2[[#This Row],[New Bus CO Emissions (tons/yr)]])</f>
        <v/>
      </c>
      <c r="BV104" s="188" t="str">
        <f>IF(Table2[[#This Row],[Counter Number]]="","",Table2[[#This Row],[Reduction Bus CO Emissions (tons/yr)]]/Table2[[#This Row],[Old Bus CO Emissions (tons/yr)]])</f>
        <v/>
      </c>
      <c r="BW104" s="193" t="str">
        <f>IF(Table2[[#This Row],[Counter Number]]="","",Table2[[#This Row],[Reduction Bus CO Emissions (tons/yr)]]*Table2[[#This Row],[Remaining Life:]])</f>
        <v/>
      </c>
      <c r="BX104" s="194" t="str">
        <f>IF(Table2[[#This Row],[Counter Number]]="","",IF(Table2[[#This Row],[Lifetime CO Reduction (tons)]]=0,"NA",Table2[[#This Row],[Upgrade Cost Per Unit]]/Table2[[#This Row],[Lifetime CO Reduction (tons)]]))</f>
        <v/>
      </c>
      <c r="BY104" s="180" t="str">
        <f>IF(Table2[[#This Row],[Counter Number]]="","",Table2[[#This Row],[Old ULSD Used (gal):]]*VLOOKUP(Table2[[#This Row],[Engine Model Year:]],EF!$A$2:$G$27,7,FALSE))</f>
        <v/>
      </c>
      <c r="BZ10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4" s="195" t="str">
        <f>IF(Table2[[#This Row],[Counter Number]]="","",Table2[[#This Row],[Old Bus CO2 Emissions (tons/yr)]]-Table2[[#This Row],[New Bus CO2 Emissions (tons/yr)]])</f>
        <v/>
      </c>
      <c r="CB104" s="188" t="str">
        <f>IF(Table2[[#This Row],[Counter Number]]="","",Table2[[#This Row],[Reduction Bus CO2 Emissions (tons/yr)]]/Table2[[#This Row],[Old Bus CO2 Emissions (tons/yr)]])</f>
        <v/>
      </c>
      <c r="CC104" s="195" t="str">
        <f>IF(Table2[[#This Row],[Counter Number]]="","",Table2[[#This Row],[Reduction Bus CO2 Emissions (tons/yr)]]*Table2[[#This Row],[Remaining Life:]])</f>
        <v/>
      </c>
      <c r="CD104" s="194" t="str">
        <f>IF(Table2[[#This Row],[Counter Number]]="","",IF(Table2[[#This Row],[Lifetime CO2 Reduction (tons)]]=0,"NA",Table2[[#This Row],[Upgrade Cost Per Unit]]/Table2[[#This Row],[Lifetime CO2 Reduction (tons)]]))</f>
        <v/>
      </c>
      <c r="CE104" s="182" t="str">
        <f>IF(Table2[[#This Row],[Counter Number]]="","",IF(Table2[[#This Row],[New ULSD Used (gal):]]="",Table2[[#This Row],[Old ULSD Used (gal):]],Table2[[#This Row],[Old ULSD Used (gal):]]-Table2[[#This Row],[New ULSD Used (gal):]]))</f>
        <v/>
      </c>
      <c r="CF104" s="196" t="str">
        <f>IF(Table2[[#This Row],[Counter Number]]="","",Table2[[#This Row],[Diesel Fuel Reduction (gal/yr)]]/Table2[[#This Row],[Old ULSD Used (gal):]])</f>
        <v/>
      </c>
      <c r="CG104" s="197" t="str">
        <f>IF(Table2[[#This Row],[Counter Number]]="","",Table2[[#This Row],[Diesel Fuel Reduction (gal/yr)]]*Table2[[#This Row],[Remaining Life:]])</f>
        <v/>
      </c>
    </row>
    <row r="105" spans="1:85">
      <c r="A105" s="184" t="str">
        <f>IF(A104&lt;Application!$D$24,A104+1,"")</f>
        <v/>
      </c>
      <c r="B105" s="60" t="str">
        <f>IF(Table2[[#This Row],[Counter Number]]="","",Application!$D$16)</f>
        <v/>
      </c>
      <c r="C105" s="60" t="str">
        <f>IF(Table2[[#This Row],[Counter Number]]="","",Application!$D$14)</f>
        <v/>
      </c>
      <c r="D105" s="60" t="str">
        <f>IF(Table2[[#This Row],[Counter Number]]="","",Table1[[#This Row],[Old Bus Number]])</f>
        <v/>
      </c>
      <c r="E105" s="60" t="str">
        <f>IF(Table2[[#This Row],[Counter Number]]="","",Application!$D$15)</f>
        <v/>
      </c>
      <c r="F105" s="60" t="str">
        <f>IF(Table2[[#This Row],[Counter Number]]="","","On Highway")</f>
        <v/>
      </c>
      <c r="G105" s="60" t="str">
        <f>IF(Table2[[#This Row],[Counter Number]]="","",I105)</f>
        <v/>
      </c>
      <c r="H105" s="60" t="str">
        <f>IF(Table2[[#This Row],[Counter Number]]="","","Georgia")</f>
        <v/>
      </c>
      <c r="I105" s="60" t="str">
        <f>IF(Table2[[#This Row],[Counter Number]]="","",Application!$D$16)</f>
        <v/>
      </c>
      <c r="J105" s="60" t="str">
        <f>IF(Table2[[#This Row],[Counter Number]]="","",Application!$D$21)</f>
        <v/>
      </c>
      <c r="K105" s="60" t="str">
        <f>IF(Table2[[#This Row],[Counter Number]]="","",Application!$J$21)</f>
        <v/>
      </c>
      <c r="L105" s="60" t="str">
        <f>IF(Table2[[#This Row],[Counter Number]]="","","School Bus")</f>
        <v/>
      </c>
      <c r="M105" s="60" t="str">
        <f>IF(Table2[[#This Row],[Counter Number]]="","","School Bus")</f>
        <v/>
      </c>
      <c r="N105" s="60" t="str">
        <f>IF(Table2[[#This Row],[Counter Number]]="","",1)</f>
        <v/>
      </c>
      <c r="O105" s="60" t="str">
        <f>IF(Table2[[#This Row],[Counter Number]]="","",Table1[[#This Row],[Vehicle Identification Number(s):]])</f>
        <v/>
      </c>
      <c r="P105" s="60" t="str">
        <f>IF(Table2[[#This Row],[Counter Number]]="","",Table1[[#This Row],[Old Bus Manufacturer:]])</f>
        <v/>
      </c>
      <c r="Q105" s="60" t="str">
        <f>IF(Table2[[#This Row],[Counter Number]]="","",Table1[[#This Row],[Vehicle Model:]])</f>
        <v/>
      </c>
      <c r="R105" s="165" t="str">
        <f>IF(Table2[[#This Row],[Counter Number]]="","",Table1[[#This Row],[Vehicle Model Year:]])</f>
        <v/>
      </c>
      <c r="S105" s="60" t="str">
        <f>IF(Table2[[#This Row],[Counter Number]]="","",Table1[[#This Row],[Engine Serial Number(s):]])</f>
        <v/>
      </c>
      <c r="T105" s="60" t="str">
        <f>IF(Table2[[#This Row],[Counter Number]]="","",Table1[[#This Row],[Engine Make:]])</f>
        <v/>
      </c>
      <c r="U105" s="60" t="str">
        <f>IF(Table2[[#This Row],[Counter Number]]="","",Table1[[#This Row],[Engine Model:]])</f>
        <v/>
      </c>
      <c r="V105" s="165" t="str">
        <f>IF(Table2[[#This Row],[Counter Number]]="","",Table1[[#This Row],[Engine Model Year:]])</f>
        <v/>
      </c>
      <c r="W105" s="60" t="str">
        <f>IF(Table2[[#This Row],[Counter Number]]="","","NA")</f>
        <v/>
      </c>
      <c r="X105" s="165" t="str">
        <f>IF(Table2[[#This Row],[Counter Number]]="","",Table1[[#This Row],[Engine Horsepower (HP):]])</f>
        <v/>
      </c>
      <c r="Y105" s="165" t="str">
        <f>IF(Table2[[#This Row],[Counter Number]]="","",Table1[[#This Row],[Engine Cylinder Displacement (L):]]&amp;" L")</f>
        <v/>
      </c>
      <c r="Z105" s="165" t="str">
        <f>IF(Table2[[#This Row],[Counter Number]]="","",Table1[[#This Row],[Engine Number of Cylinders:]])</f>
        <v/>
      </c>
      <c r="AA105" s="166" t="str">
        <f>IF(Table2[[#This Row],[Counter Number]]="","",Table1[[#This Row],[Engine Family Name:]])</f>
        <v/>
      </c>
      <c r="AB105" s="60" t="str">
        <f>IF(Table2[[#This Row],[Counter Number]]="","","ULSD")</f>
        <v/>
      </c>
      <c r="AC105" s="167" t="str">
        <f>IF(Table2[[#This Row],[Counter Number]]="","",Table2[[#This Row],[Annual Miles Traveled:]]/Table1[[#This Row],[Old Fuel (mpg)]])</f>
        <v/>
      </c>
      <c r="AD105" s="60" t="str">
        <f>IF(Table2[[#This Row],[Counter Number]]="","","NA")</f>
        <v/>
      </c>
      <c r="AE105" s="168" t="str">
        <f>IF(Table2[[#This Row],[Counter Number]]="","",Table1[[#This Row],[Annual Miles Traveled]])</f>
        <v/>
      </c>
      <c r="AF105" s="169" t="str">
        <f>IF(Table2[[#This Row],[Counter Number]]="","",Table1[[#This Row],[Annual Idling Hours:]])</f>
        <v/>
      </c>
      <c r="AG105" s="60" t="str">
        <f>IF(Table2[[#This Row],[Counter Number]]="","","NA")</f>
        <v/>
      </c>
      <c r="AH105" s="165" t="str">
        <f>IF(Table2[[#This Row],[Counter Number]]="","",IF(Application!$J$25="Set Policy",Table1[[#This Row],[Remaining Life (years)         Set Policy]],Table1[[#This Row],[Remaining Life (years)               Case-by-Case]]))</f>
        <v/>
      </c>
      <c r="AI105" s="165" t="str">
        <f>IF(Table2[[#This Row],[Counter Number]]="","",IF(Application!$J$25="Case-by-Case","NA",Table2[[#This Row],[Fiscal Year of EPA Funds Used:]]+Table2[[#This Row],[Remaining Life:]]))</f>
        <v/>
      </c>
      <c r="AJ105" s="165"/>
      <c r="AK105" s="170" t="str">
        <f>IF(Table2[[#This Row],[Counter Number]]="","",Application!$D$14+1)</f>
        <v/>
      </c>
      <c r="AL105" s="60" t="str">
        <f>IF(Table2[[#This Row],[Counter Number]]="","","Vehicle Replacement")</f>
        <v/>
      </c>
      <c r="AM10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5" s="171" t="str">
        <f>IF(Table2[[#This Row],[Counter Number]]="","",Table1[[#This Row],[Cost of New Bus:]])</f>
        <v/>
      </c>
      <c r="AO105" s="60" t="str">
        <f>IF(Table2[[#This Row],[Counter Number]]="","","NA")</f>
        <v/>
      </c>
      <c r="AP105" s="165" t="str">
        <f>IF(Table2[[#This Row],[Counter Number]]="","",Table1[[#This Row],[New Engine Model Year:]])</f>
        <v/>
      </c>
      <c r="AQ105" s="60" t="str">
        <f>IF(Table2[[#This Row],[Counter Number]]="","","NA")</f>
        <v/>
      </c>
      <c r="AR105" s="165" t="str">
        <f>IF(Table2[[#This Row],[Counter Number]]="","",Table1[[#This Row],[New Engine Horsepower (HP):]])</f>
        <v/>
      </c>
      <c r="AS105" s="60" t="str">
        <f>IF(Table2[[#This Row],[Counter Number]]="","","NA")</f>
        <v/>
      </c>
      <c r="AT105" s="165" t="str">
        <f>IF(Table2[[#This Row],[Counter Number]]="","",Table1[[#This Row],[New Engine Cylinder Displacement (L):]]&amp;" L")</f>
        <v/>
      </c>
      <c r="AU105" s="114" t="str">
        <f>IF(Table2[[#This Row],[Counter Number]]="","",Table1[[#This Row],[New Engine Number of Cylinders:]])</f>
        <v/>
      </c>
      <c r="AV105" s="60" t="str">
        <f>IF(Table2[[#This Row],[Counter Number]]="","",Table1[[#This Row],[New Engine Family Name:]])</f>
        <v/>
      </c>
      <c r="AW10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5" s="60" t="str">
        <f>IF(Table2[[#This Row],[Counter Number]]="","","NA")</f>
        <v/>
      </c>
      <c r="AY105" s="172" t="str">
        <f>IF(Table2[[#This Row],[Counter Number]]="","",IF(Table2[[#This Row],[New Engine Fuel Type:]]="ULSD",Table1[[#This Row],[Annual Miles Traveled]]/Table1[[#This Row],[New Fuel (mpg) if Diesel]],""))</f>
        <v/>
      </c>
      <c r="AZ105" s="60"/>
      <c r="BA105" s="173" t="str">
        <f>IF(Table2[[#This Row],[Counter Number]]="","",Table2[[#This Row],[Annual Miles Traveled:]]*VLOOKUP(Table2[[#This Row],[Engine Model Year:]],EFTable[],3,FALSE))</f>
        <v/>
      </c>
      <c r="BB105" s="173" t="str">
        <f>IF(Table2[[#This Row],[Counter Number]]="","",Table2[[#This Row],[Annual Miles Traveled:]]*IF(Table2[[#This Row],[New Engine Fuel Type:]]="ULSD",VLOOKUP(Table2[[#This Row],[New Engine Model Year:]],EFTable[],3,FALSE),VLOOKUP(Table2[[#This Row],[New Engine Fuel Type:]],EFTable[],3,FALSE)))</f>
        <v/>
      </c>
      <c r="BC105" s="187" t="str">
        <f>IF(Table2[[#This Row],[Counter Number]]="","",Table2[[#This Row],[Old Bus NOx Emissions (tons/yr)]]-Table2[[#This Row],[New Bus NOx Emissions (tons/yr)]])</f>
        <v/>
      </c>
      <c r="BD105" s="188" t="str">
        <f>IF(Table2[[#This Row],[Counter Number]]="","",Table2[[#This Row],[Reduction Bus NOx Emissions (tons/yr)]]/Table2[[#This Row],[Old Bus NOx Emissions (tons/yr)]])</f>
        <v/>
      </c>
      <c r="BE105" s="175" t="str">
        <f>IF(Table2[[#This Row],[Counter Number]]="","",Table2[[#This Row],[Reduction Bus NOx Emissions (tons/yr)]]*Table2[[#This Row],[Remaining Life:]])</f>
        <v/>
      </c>
      <c r="BF105" s="189" t="str">
        <f>IF(Table2[[#This Row],[Counter Number]]="","",IF(Table2[[#This Row],[Lifetime NOx Reduction (tons)]]=0,"NA",Table2[[#This Row],[Upgrade Cost Per Unit]]/Table2[[#This Row],[Lifetime NOx Reduction (tons)]]))</f>
        <v/>
      </c>
      <c r="BG105" s="190" t="str">
        <f>IF(Table2[[#This Row],[Counter Number]]="","",Table2[[#This Row],[Annual Miles Traveled:]]*VLOOKUP(Table2[[#This Row],[Engine Model Year:]],EF!$A$2:$G$27,4,FALSE))</f>
        <v/>
      </c>
      <c r="BH105" s="173" t="str">
        <f>IF(Table2[[#This Row],[Counter Number]]="","",Table2[[#This Row],[Annual Miles Traveled:]]*IF(Table2[[#This Row],[New Engine Fuel Type:]]="ULSD",VLOOKUP(Table2[[#This Row],[New Engine Model Year:]],EFTable[],4,FALSE),VLOOKUP(Table2[[#This Row],[New Engine Fuel Type:]],EFTable[],4,FALSE)))</f>
        <v/>
      </c>
      <c r="BI105" s="191" t="str">
        <f>IF(Table2[[#This Row],[Counter Number]]="","",Table2[[#This Row],[Old Bus PM2.5 Emissions (tons/yr)]]-Table2[[#This Row],[New Bus PM2.5 Emissions (tons/yr)]])</f>
        <v/>
      </c>
      <c r="BJ105" s="192" t="str">
        <f>IF(Table2[[#This Row],[Counter Number]]="","",Table2[[#This Row],[Reduction Bus PM2.5 Emissions (tons/yr)]]/Table2[[#This Row],[Old Bus PM2.5 Emissions (tons/yr)]])</f>
        <v/>
      </c>
      <c r="BK105" s="193" t="str">
        <f>IF(Table2[[#This Row],[Counter Number]]="","",Table2[[#This Row],[Reduction Bus PM2.5 Emissions (tons/yr)]]*Table2[[#This Row],[Remaining Life:]])</f>
        <v/>
      </c>
      <c r="BL105" s="194" t="str">
        <f>IF(Table2[[#This Row],[Counter Number]]="","",IF(Table2[[#This Row],[Lifetime PM2.5 Reduction (tons)]]=0,"NA",Table2[[#This Row],[Upgrade Cost Per Unit]]/Table2[[#This Row],[Lifetime PM2.5 Reduction (tons)]]))</f>
        <v/>
      </c>
      <c r="BM105" s="179" t="str">
        <f>IF(Table2[[#This Row],[Counter Number]]="","",Table2[[#This Row],[Annual Miles Traveled:]]*VLOOKUP(Table2[[#This Row],[Engine Model Year:]],EF!$A$2:$G$40,5,FALSE))</f>
        <v/>
      </c>
      <c r="BN105" s="173" t="str">
        <f>IF(Table2[[#This Row],[Counter Number]]="","",Table2[[#This Row],[Annual Miles Traveled:]]*IF(Table2[[#This Row],[New Engine Fuel Type:]]="ULSD",VLOOKUP(Table2[[#This Row],[New Engine Model Year:]],EFTable[],5,FALSE),VLOOKUP(Table2[[#This Row],[New Engine Fuel Type:]],EFTable[],5,FALSE)))</f>
        <v/>
      </c>
      <c r="BO105" s="190" t="str">
        <f>IF(Table2[[#This Row],[Counter Number]]="","",Table2[[#This Row],[Old Bus HC Emissions (tons/yr)]]-Table2[[#This Row],[New Bus HC Emissions (tons/yr)]])</f>
        <v/>
      </c>
      <c r="BP105" s="188" t="str">
        <f>IF(Table2[[#This Row],[Counter Number]]="","",Table2[[#This Row],[Reduction Bus HC Emissions (tons/yr)]]/Table2[[#This Row],[Old Bus HC Emissions (tons/yr)]])</f>
        <v/>
      </c>
      <c r="BQ105" s="193" t="str">
        <f>IF(Table2[[#This Row],[Counter Number]]="","",Table2[[#This Row],[Reduction Bus HC Emissions (tons/yr)]]*Table2[[#This Row],[Remaining Life:]])</f>
        <v/>
      </c>
      <c r="BR105" s="194" t="str">
        <f>IF(Table2[[#This Row],[Counter Number]]="","",IF(Table2[[#This Row],[Lifetime HC Reduction (tons)]]=0,"NA",Table2[[#This Row],[Upgrade Cost Per Unit]]/Table2[[#This Row],[Lifetime HC Reduction (tons)]]))</f>
        <v/>
      </c>
      <c r="BS105" s="191" t="str">
        <f>IF(Table2[[#This Row],[Counter Number]]="","",Table2[[#This Row],[Annual Miles Traveled:]]*VLOOKUP(Table2[[#This Row],[Engine Model Year:]],EF!$A$2:$G$27,6,FALSE))</f>
        <v/>
      </c>
      <c r="BT105" s="173" t="str">
        <f>IF(Table2[[#This Row],[Counter Number]]="","",Table2[[#This Row],[Annual Miles Traveled:]]*IF(Table2[[#This Row],[New Engine Fuel Type:]]="ULSD",VLOOKUP(Table2[[#This Row],[New Engine Model Year:]],EFTable[],6,FALSE),VLOOKUP(Table2[[#This Row],[New Engine Fuel Type:]],EFTable[],6,FALSE)))</f>
        <v/>
      </c>
      <c r="BU105" s="190" t="str">
        <f>IF(Table2[[#This Row],[Counter Number]]="","",Table2[[#This Row],[Old Bus CO Emissions (tons/yr)]]-Table2[[#This Row],[New Bus CO Emissions (tons/yr)]])</f>
        <v/>
      </c>
      <c r="BV105" s="188" t="str">
        <f>IF(Table2[[#This Row],[Counter Number]]="","",Table2[[#This Row],[Reduction Bus CO Emissions (tons/yr)]]/Table2[[#This Row],[Old Bus CO Emissions (tons/yr)]])</f>
        <v/>
      </c>
      <c r="BW105" s="193" t="str">
        <f>IF(Table2[[#This Row],[Counter Number]]="","",Table2[[#This Row],[Reduction Bus CO Emissions (tons/yr)]]*Table2[[#This Row],[Remaining Life:]])</f>
        <v/>
      </c>
      <c r="BX105" s="194" t="str">
        <f>IF(Table2[[#This Row],[Counter Number]]="","",IF(Table2[[#This Row],[Lifetime CO Reduction (tons)]]=0,"NA",Table2[[#This Row],[Upgrade Cost Per Unit]]/Table2[[#This Row],[Lifetime CO Reduction (tons)]]))</f>
        <v/>
      </c>
      <c r="BY105" s="180" t="str">
        <f>IF(Table2[[#This Row],[Counter Number]]="","",Table2[[#This Row],[Old ULSD Used (gal):]]*VLOOKUP(Table2[[#This Row],[Engine Model Year:]],EF!$A$2:$G$27,7,FALSE))</f>
        <v/>
      </c>
      <c r="BZ10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5" s="195" t="str">
        <f>IF(Table2[[#This Row],[Counter Number]]="","",Table2[[#This Row],[Old Bus CO2 Emissions (tons/yr)]]-Table2[[#This Row],[New Bus CO2 Emissions (tons/yr)]])</f>
        <v/>
      </c>
      <c r="CB105" s="188" t="str">
        <f>IF(Table2[[#This Row],[Counter Number]]="","",Table2[[#This Row],[Reduction Bus CO2 Emissions (tons/yr)]]/Table2[[#This Row],[Old Bus CO2 Emissions (tons/yr)]])</f>
        <v/>
      </c>
      <c r="CC105" s="195" t="str">
        <f>IF(Table2[[#This Row],[Counter Number]]="","",Table2[[#This Row],[Reduction Bus CO2 Emissions (tons/yr)]]*Table2[[#This Row],[Remaining Life:]])</f>
        <v/>
      </c>
      <c r="CD105" s="194" t="str">
        <f>IF(Table2[[#This Row],[Counter Number]]="","",IF(Table2[[#This Row],[Lifetime CO2 Reduction (tons)]]=0,"NA",Table2[[#This Row],[Upgrade Cost Per Unit]]/Table2[[#This Row],[Lifetime CO2 Reduction (tons)]]))</f>
        <v/>
      </c>
      <c r="CE105" s="182" t="str">
        <f>IF(Table2[[#This Row],[Counter Number]]="","",IF(Table2[[#This Row],[New ULSD Used (gal):]]="",Table2[[#This Row],[Old ULSD Used (gal):]],Table2[[#This Row],[Old ULSD Used (gal):]]-Table2[[#This Row],[New ULSD Used (gal):]]))</f>
        <v/>
      </c>
      <c r="CF105" s="196" t="str">
        <f>IF(Table2[[#This Row],[Counter Number]]="","",Table2[[#This Row],[Diesel Fuel Reduction (gal/yr)]]/Table2[[#This Row],[Old ULSD Used (gal):]])</f>
        <v/>
      </c>
      <c r="CG105" s="197" t="str">
        <f>IF(Table2[[#This Row],[Counter Number]]="","",Table2[[#This Row],[Diesel Fuel Reduction (gal/yr)]]*Table2[[#This Row],[Remaining Life:]])</f>
        <v/>
      </c>
    </row>
    <row r="106" spans="1:85">
      <c r="A106" s="184" t="str">
        <f>IF(A105&lt;Application!$D$24,A105+1,"")</f>
        <v/>
      </c>
      <c r="B106" s="60" t="str">
        <f>IF(Table2[[#This Row],[Counter Number]]="","",Application!$D$16)</f>
        <v/>
      </c>
      <c r="C106" s="60" t="str">
        <f>IF(Table2[[#This Row],[Counter Number]]="","",Application!$D$14)</f>
        <v/>
      </c>
      <c r="D106" s="60" t="str">
        <f>IF(Table2[[#This Row],[Counter Number]]="","",Table1[[#This Row],[Old Bus Number]])</f>
        <v/>
      </c>
      <c r="E106" s="60" t="str">
        <f>IF(Table2[[#This Row],[Counter Number]]="","",Application!$D$15)</f>
        <v/>
      </c>
      <c r="F106" s="60" t="str">
        <f>IF(Table2[[#This Row],[Counter Number]]="","","On Highway")</f>
        <v/>
      </c>
      <c r="G106" s="60" t="str">
        <f>IF(Table2[[#This Row],[Counter Number]]="","",I106)</f>
        <v/>
      </c>
      <c r="H106" s="60" t="str">
        <f>IF(Table2[[#This Row],[Counter Number]]="","","Georgia")</f>
        <v/>
      </c>
      <c r="I106" s="60" t="str">
        <f>IF(Table2[[#This Row],[Counter Number]]="","",Application!$D$16)</f>
        <v/>
      </c>
      <c r="J106" s="60" t="str">
        <f>IF(Table2[[#This Row],[Counter Number]]="","",Application!$D$21)</f>
        <v/>
      </c>
      <c r="K106" s="60" t="str">
        <f>IF(Table2[[#This Row],[Counter Number]]="","",Application!$J$21)</f>
        <v/>
      </c>
      <c r="L106" s="60" t="str">
        <f>IF(Table2[[#This Row],[Counter Number]]="","","School Bus")</f>
        <v/>
      </c>
      <c r="M106" s="60" t="str">
        <f>IF(Table2[[#This Row],[Counter Number]]="","","School Bus")</f>
        <v/>
      </c>
      <c r="N106" s="60" t="str">
        <f>IF(Table2[[#This Row],[Counter Number]]="","",1)</f>
        <v/>
      </c>
      <c r="O106" s="60" t="str">
        <f>IF(Table2[[#This Row],[Counter Number]]="","",Table1[[#This Row],[Vehicle Identification Number(s):]])</f>
        <v/>
      </c>
      <c r="P106" s="60" t="str">
        <f>IF(Table2[[#This Row],[Counter Number]]="","",Table1[[#This Row],[Old Bus Manufacturer:]])</f>
        <v/>
      </c>
      <c r="Q106" s="60" t="str">
        <f>IF(Table2[[#This Row],[Counter Number]]="","",Table1[[#This Row],[Vehicle Model:]])</f>
        <v/>
      </c>
      <c r="R106" s="165" t="str">
        <f>IF(Table2[[#This Row],[Counter Number]]="","",Table1[[#This Row],[Vehicle Model Year:]])</f>
        <v/>
      </c>
      <c r="S106" s="60" t="str">
        <f>IF(Table2[[#This Row],[Counter Number]]="","",Table1[[#This Row],[Engine Serial Number(s):]])</f>
        <v/>
      </c>
      <c r="T106" s="60" t="str">
        <f>IF(Table2[[#This Row],[Counter Number]]="","",Table1[[#This Row],[Engine Make:]])</f>
        <v/>
      </c>
      <c r="U106" s="60" t="str">
        <f>IF(Table2[[#This Row],[Counter Number]]="","",Table1[[#This Row],[Engine Model:]])</f>
        <v/>
      </c>
      <c r="V106" s="165" t="str">
        <f>IF(Table2[[#This Row],[Counter Number]]="","",Table1[[#This Row],[Engine Model Year:]])</f>
        <v/>
      </c>
      <c r="W106" s="60" t="str">
        <f>IF(Table2[[#This Row],[Counter Number]]="","","NA")</f>
        <v/>
      </c>
      <c r="X106" s="165" t="str">
        <f>IF(Table2[[#This Row],[Counter Number]]="","",Table1[[#This Row],[Engine Horsepower (HP):]])</f>
        <v/>
      </c>
      <c r="Y106" s="165" t="str">
        <f>IF(Table2[[#This Row],[Counter Number]]="","",Table1[[#This Row],[Engine Cylinder Displacement (L):]]&amp;" L")</f>
        <v/>
      </c>
      <c r="Z106" s="165" t="str">
        <f>IF(Table2[[#This Row],[Counter Number]]="","",Table1[[#This Row],[Engine Number of Cylinders:]])</f>
        <v/>
      </c>
      <c r="AA106" s="166" t="str">
        <f>IF(Table2[[#This Row],[Counter Number]]="","",Table1[[#This Row],[Engine Family Name:]])</f>
        <v/>
      </c>
      <c r="AB106" s="60" t="str">
        <f>IF(Table2[[#This Row],[Counter Number]]="","","ULSD")</f>
        <v/>
      </c>
      <c r="AC106" s="167" t="str">
        <f>IF(Table2[[#This Row],[Counter Number]]="","",Table2[[#This Row],[Annual Miles Traveled:]]/Table1[[#This Row],[Old Fuel (mpg)]])</f>
        <v/>
      </c>
      <c r="AD106" s="60" t="str">
        <f>IF(Table2[[#This Row],[Counter Number]]="","","NA")</f>
        <v/>
      </c>
      <c r="AE106" s="168" t="str">
        <f>IF(Table2[[#This Row],[Counter Number]]="","",Table1[[#This Row],[Annual Miles Traveled]])</f>
        <v/>
      </c>
      <c r="AF106" s="169" t="str">
        <f>IF(Table2[[#This Row],[Counter Number]]="","",Table1[[#This Row],[Annual Idling Hours:]])</f>
        <v/>
      </c>
      <c r="AG106" s="60" t="str">
        <f>IF(Table2[[#This Row],[Counter Number]]="","","NA")</f>
        <v/>
      </c>
      <c r="AH106" s="165" t="str">
        <f>IF(Table2[[#This Row],[Counter Number]]="","",IF(Application!$J$25="Set Policy",Table1[[#This Row],[Remaining Life (years)         Set Policy]],Table1[[#This Row],[Remaining Life (years)               Case-by-Case]]))</f>
        <v/>
      </c>
      <c r="AI106" s="165" t="str">
        <f>IF(Table2[[#This Row],[Counter Number]]="","",IF(Application!$J$25="Case-by-Case","NA",Table2[[#This Row],[Fiscal Year of EPA Funds Used:]]+Table2[[#This Row],[Remaining Life:]]))</f>
        <v/>
      </c>
      <c r="AJ106" s="165"/>
      <c r="AK106" s="170" t="str">
        <f>IF(Table2[[#This Row],[Counter Number]]="","",Application!$D$14+1)</f>
        <v/>
      </c>
      <c r="AL106" s="60" t="str">
        <f>IF(Table2[[#This Row],[Counter Number]]="","","Vehicle Replacement")</f>
        <v/>
      </c>
      <c r="AM10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6" s="171" t="str">
        <f>IF(Table2[[#This Row],[Counter Number]]="","",Table1[[#This Row],[Cost of New Bus:]])</f>
        <v/>
      </c>
      <c r="AO106" s="60" t="str">
        <f>IF(Table2[[#This Row],[Counter Number]]="","","NA")</f>
        <v/>
      </c>
      <c r="AP106" s="165" t="str">
        <f>IF(Table2[[#This Row],[Counter Number]]="","",Table1[[#This Row],[New Engine Model Year:]])</f>
        <v/>
      </c>
      <c r="AQ106" s="60" t="str">
        <f>IF(Table2[[#This Row],[Counter Number]]="","","NA")</f>
        <v/>
      </c>
      <c r="AR106" s="165" t="str">
        <f>IF(Table2[[#This Row],[Counter Number]]="","",Table1[[#This Row],[New Engine Horsepower (HP):]])</f>
        <v/>
      </c>
      <c r="AS106" s="60" t="str">
        <f>IF(Table2[[#This Row],[Counter Number]]="","","NA")</f>
        <v/>
      </c>
      <c r="AT106" s="165" t="str">
        <f>IF(Table2[[#This Row],[Counter Number]]="","",Table1[[#This Row],[New Engine Cylinder Displacement (L):]]&amp;" L")</f>
        <v/>
      </c>
      <c r="AU106" s="114" t="str">
        <f>IF(Table2[[#This Row],[Counter Number]]="","",Table1[[#This Row],[New Engine Number of Cylinders:]])</f>
        <v/>
      </c>
      <c r="AV106" s="60" t="str">
        <f>IF(Table2[[#This Row],[Counter Number]]="","",Table1[[#This Row],[New Engine Family Name:]])</f>
        <v/>
      </c>
      <c r="AW10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6" s="60" t="str">
        <f>IF(Table2[[#This Row],[Counter Number]]="","","NA")</f>
        <v/>
      </c>
      <c r="AY106" s="172" t="str">
        <f>IF(Table2[[#This Row],[Counter Number]]="","",IF(Table2[[#This Row],[New Engine Fuel Type:]]="ULSD",Table1[[#This Row],[Annual Miles Traveled]]/Table1[[#This Row],[New Fuel (mpg) if Diesel]],""))</f>
        <v/>
      </c>
      <c r="AZ106" s="60"/>
      <c r="BA106" s="173" t="str">
        <f>IF(Table2[[#This Row],[Counter Number]]="","",Table2[[#This Row],[Annual Miles Traveled:]]*VLOOKUP(Table2[[#This Row],[Engine Model Year:]],EFTable[],3,FALSE))</f>
        <v/>
      </c>
      <c r="BB106" s="173" t="str">
        <f>IF(Table2[[#This Row],[Counter Number]]="","",Table2[[#This Row],[Annual Miles Traveled:]]*IF(Table2[[#This Row],[New Engine Fuel Type:]]="ULSD",VLOOKUP(Table2[[#This Row],[New Engine Model Year:]],EFTable[],3,FALSE),VLOOKUP(Table2[[#This Row],[New Engine Fuel Type:]],EFTable[],3,FALSE)))</f>
        <v/>
      </c>
      <c r="BC106" s="187" t="str">
        <f>IF(Table2[[#This Row],[Counter Number]]="","",Table2[[#This Row],[Old Bus NOx Emissions (tons/yr)]]-Table2[[#This Row],[New Bus NOx Emissions (tons/yr)]])</f>
        <v/>
      </c>
      <c r="BD106" s="188" t="str">
        <f>IF(Table2[[#This Row],[Counter Number]]="","",Table2[[#This Row],[Reduction Bus NOx Emissions (tons/yr)]]/Table2[[#This Row],[Old Bus NOx Emissions (tons/yr)]])</f>
        <v/>
      </c>
      <c r="BE106" s="175" t="str">
        <f>IF(Table2[[#This Row],[Counter Number]]="","",Table2[[#This Row],[Reduction Bus NOx Emissions (tons/yr)]]*Table2[[#This Row],[Remaining Life:]])</f>
        <v/>
      </c>
      <c r="BF106" s="189" t="str">
        <f>IF(Table2[[#This Row],[Counter Number]]="","",IF(Table2[[#This Row],[Lifetime NOx Reduction (tons)]]=0,"NA",Table2[[#This Row],[Upgrade Cost Per Unit]]/Table2[[#This Row],[Lifetime NOx Reduction (tons)]]))</f>
        <v/>
      </c>
      <c r="BG106" s="190" t="str">
        <f>IF(Table2[[#This Row],[Counter Number]]="","",Table2[[#This Row],[Annual Miles Traveled:]]*VLOOKUP(Table2[[#This Row],[Engine Model Year:]],EF!$A$2:$G$27,4,FALSE))</f>
        <v/>
      </c>
      <c r="BH106" s="173" t="str">
        <f>IF(Table2[[#This Row],[Counter Number]]="","",Table2[[#This Row],[Annual Miles Traveled:]]*IF(Table2[[#This Row],[New Engine Fuel Type:]]="ULSD",VLOOKUP(Table2[[#This Row],[New Engine Model Year:]],EFTable[],4,FALSE),VLOOKUP(Table2[[#This Row],[New Engine Fuel Type:]],EFTable[],4,FALSE)))</f>
        <v/>
      </c>
      <c r="BI106" s="191" t="str">
        <f>IF(Table2[[#This Row],[Counter Number]]="","",Table2[[#This Row],[Old Bus PM2.5 Emissions (tons/yr)]]-Table2[[#This Row],[New Bus PM2.5 Emissions (tons/yr)]])</f>
        <v/>
      </c>
      <c r="BJ106" s="192" t="str">
        <f>IF(Table2[[#This Row],[Counter Number]]="","",Table2[[#This Row],[Reduction Bus PM2.5 Emissions (tons/yr)]]/Table2[[#This Row],[Old Bus PM2.5 Emissions (tons/yr)]])</f>
        <v/>
      </c>
      <c r="BK106" s="193" t="str">
        <f>IF(Table2[[#This Row],[Counter Number]]="","",Table2[[#This Row],[Reduction Bus PM2.5 Emissions (tons/yr)]]*Table2[[#This Row],[Remaining Life:]])</f>
        <v/>
      </c>
      <c r="BL106" s="194" t="str">
        <f>IF(Table2[[#This Row],[Counter Number]]="","",IF(Table2[[#This Row],[Lifetime PM2.5 Reduction (tons)]]=0,"NA",Table2[[#This Row],[Upgrade Cost Per Unit]]/Table2[[#This Row],[Lifetime PM2.5 Reduction (tons)]]))</f>
        <v/>
      </c>
      <c r="BM106" s="179" t="str">
        <f>IF(Table2[[#This Row],[Counter Number]]="","",Table2[[#This Row],[Annual Miles Traveled:]]*VLOOKUP(Table2[[#This Row],[Engine Model Year:]],EF!$A$2:$G$40,5,FALSE))</f>
        <v/>
      </c>
      <c r="BN106" s="173" t="str">
        <f>IF(Table2[[#This Row],[Counter Number]]="","",Table2[[#This Row],[Annual Miles Traveled:]]*IF(Table2[[#This Row],[New Engine Fuel Type:]]="ULSD",VLOOKUP(Table2[[#This Row],[New Engine Model Year:]],EFTable[],5,FALSE),VLOOKUP(Table2[[#This Row],[New Engine Fuel Type:]],EFTable[],5,FALSE)))</f>
        <v/>
      </c>
      <c r="BO106" s="190" t="str">
        <f>IF(Table2[[#This Row],[Counter Number]]="","",Table2[[#This Row],[Old Bus HC Emissions (tons/yr)]]-Table2[[#This Row],[New Bus HC Emissions (tons/yr)]])</f>
        <v/>
      </c>
      <c r="BP106" s="188" t="str">
        <f>IF(Table2[[#This Row],[Counter Number]]="","",Table2[[#This Row],[Reduction Bus HC Emissions (tons/yr)]]/Table2[[#This Row],[Old Bus HC Emissions (tons/yr)]])</f>
        <v/>
      </c>
      <c r="BQ106" s="193" t="str">
        <f>IF(Table2[[#This Row],[Counter Number]]="","",Table2[[#This Row],[Reduction Bus HC Emissions (tons/yr)]]*Table2[[#This Row],[Remaining Life:]])</f>
        <v/>
      </c>
      <c r="BR106" s="194" t="str">
        <f>IF(Table2[[#This Row],[Counter Number]]="","",IF(Table2[[#This Row],[Lifetime HC Reduction (tons)]]=0,"NA",Table2[[#This Row],[Upgrade Cost Per Unit]]/Table2[[#This Row],[Lifetime HC Reduction (tons)]]))</f>
        <v/>
      </c>
      <c r="BS106" s="191" t="str">
        <f>IF(Table2[[#This Row],[Counter Number]]="","",Table2[[#This Row],[Annual Miles Traveled:]]*VLOOKUP(Table2[[#This Row],[Engine Model Year:]],EF!$A$2:$G$27,6,FALSE))</f>
        <v/>
      </c>
      <c r="BT106" s="173" t="str">
        <f>IF(Table2[[#This Row],[Counter Number]]="","",Table2[[#This Row],[Annual Miles Traveled:]]*IF(Table2[[#This Row],[New Engine Fuel Type:]]="ULSD",VLOOKUP(Table2[[#This Row],[New Engine Model Year:]],EFTable[],6,FALSE),VLOOKUP(Table2[[#This Row],[New Engine Fuel Type:]],EFTable[],6,FALSE)))</f>
        <v/>
      </c>
      <c r="BU106" s="190" t="str">
        <f>IF(Table2[[#This Row],[Counter Number]]="","",Table2[[#This Row],[Old Bus CO Emissions (tons/yr)]]-Table2[[#This Row],[New Bus CO Emissions (tons/yr)]])</f>
        <v/>
      </c>
      <c r="BV106" s="188" t="str">
        <f>IF(Table2[[#This Row],[Counter Number]]="","",Table2[[#This Row],[Reduction Bus CO Emissions (tons/yr)]]/Table2[[#This Row],[Old Bus CO Emissions (tons/yr)]])</f>
        <v/>
      </c>
      <c r="BW106" s="193" t="str">
        <f>IF(Table2[[#This Row],[Counter Number]]="","",Table2[[#This Row],[Reduction Bus CO Emissions (tons/yr)]]*Table2[[#This Row],[Remaining Life:]])</f>
        <v/>
      </c>
      <c r="BX106" s="194" t="str">
        <f>IF(Table2[[#This Row],[Counter Number]]="","",IF(Table2[[#This Row],[Lifetime CO Reduction (tons)]]=0,"NA",Table2[[#This Row],[Upgrade Cost Per Unit]]/Table2[[#This Row],[Lifetime CO Reduction (tons)]]))</f>
        <v/>
      </c>
      <c r="BY106" s="180" t="str">
        <f>IF(Table2[[#This Row],[Counter Number]]="","",Table2[[#This Row],[Old ULSD Used (gal):]]*VLOOKUP(Table2[[#This Row],[Engine Model Year:]],EF!$A$2:$G$27,7,FALSE))</f>
        <v/>
      </c>
      <c r="BZ10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6" s="195" t="str">
        <f>IF(Table2[[#This Row],[Counter Number]]="","",Table2[[#This Row],[Old Bus CO2 Emissions (tons/yr)]]-Table2[[#This Row],[New Bus CO2 Emissions (tons/yr)]])</f>
        <v/>
      </c>
      <c r="CB106" s="188" t="str">
        <f>IF(Table2[[#This Row],[Counter Number]]="","",Table2[[#This Row],[Reduction Bus CO2 Emissions (tons/yr)]]/Table2[[#This Row],[Old Bus CO2 Emissions (tons/yr)]])</f>
        <v/>
      </c>
      <c r="CC106" s="195" t="str">
        <f>IF(Table2[[#This Row],[Counter Number]]="","",Table2[[#This Row],[Reduction Bus CO2 Emissions (tons/yr)]]*Table2[[#This Row],[Remaining Life:]])</f>
        <v/>
      </c>
      <c r="CD106" s="194" t="str">
        <f>IF(Table2[[#This Row],[Counter Number]]="","",IF(Table2[[#This Row],[Lifetime CO2 Reduction (tons)]]=0,"NA",Table2[[#This Row],[Upgrade Cost Per Unit]]/Table2[[#This Row],[Lifetime CO2 Reduction (tons)]]))</f>
        <v/>
      </c>
      <c r="CE106" s="182" t="str">
        <f>IF(Table2[[#This Row],[Counter Number]]="","",IF(Table2[[#This Row],[New ULSD Used (gal):]]="",Table2[[#This Row],[Old ULSD Used (gal):]],Table2[[#This Row],[Old ULSD Used (gal):]]-Table2[[#This Row],[New ULSD Used (gal):]]))</f>
        <v/>
      </c>
      <c r="CF106" s="196" t="str">
        <f>IF(Table2[[#This Row],[Counter Number]]="","",Table2[[#This Row],[Diesel Fuel Reduction (gal/yr)]]/Table2[[#This Row],[Old ULSD Used (gal):]])</f>
        <v/>
      </c>
      <c r="CG106" s="197" t="str">
        <f>IF(Table2[[#This Row],[Counter Number]]="","",Table2[[#This Row],[Diesel Fuel Reduction (gal/yr)]]*Table2[[#This Row],[Remaining Life:]])</f>
        <v/>
      </c>
    </row>
    <row r="107" spans="1:85">
      <c r="A107" s="184" t="str">
        <f>IF(A106&lt;Application!$D$24,A106+1,"")</f>
        <v/>
      </c>
      <c r="B107" s="60" t="str">
        <f>IF(Table2[[#This Row],[Counter Number]]="","",Application!$D$16)</f>
        <v/>
      </c>
      <c r="C107" s="60" t="str">
        <f>IF(Table2[[#This Row],[Counter Number]]="","",Application!$D$14)</f>
        <v/>
      </c>
      <c r="D107" s="60" t="str">
        <f>IF(Table2[[#This Row],[Counter Number]]="","",Table1[[#This Row],[Old Bus Number]])</f>
        <v/>
      </c>
      <c r="E107" s="60" t="str">
        <f>IF(Table2[[#This Row],[Counter Number]]="","",Application!$D$15)</f>
        <v/>
      </c>
      <c r="F107" s="60" t="str">
        <f>IF(Table2[[#This Row],[Counter Number]]="","","On Highway")</f>
        <v/>
      </c>
      <c r="G107" s="60" t="str">
        <f>IF(Table2[[#This Row],[Counter Number]]="","",I107)</f>
        <v/>
      </c>
      <c r="H107" s="60" t="str">
        <f>IF(Table2[[#This Row],[Counter Number]]="","","Georgia")</f>
        <v/>
      </c>
      <c r="I107" s="60" t="str">
        <f>IF(Table2[[#This Row],[Counter Number]]="","",Application!$D$16)</f>
        <v/>
      </c>
      <c r="J107" s="60" t="str">
        <f>IF(Table2[[#This Row],[Counter Number]]="","",Application!$D$21)</f>
        <v/>
      </c>
      <c r="K107" s="60" t="str">
        <f>IF(Table2[[#This Row],[Counter Number]]="","",Application!$J$21)</f>
        <v/>
      </c>
      <c r="L107" s="60" t="str">
        <f>IF(Table2[[#This Row],[Counter Number]]="","","School Bus")</f>
        <v/>
      </c>
      <c r="M107" s="60" t="str">
        <f>IF(Table2[[#This Row],[Counter Number]]="","","School Bus")</f>
        <v/>
      </c>
      <c r="N107" s="60" t="str">
        <f>IF(Table2[[#This Row],[Counter Number]]="","",1)</f>
        <v/>
      </c>
      <c r="O107" s="60" t="str">
        <f>IF(Table2[[#This Row],[Counter Number]]="","",Table1[[#This Row],[Vehicle Identification Number(s):]])</f>
        <v/>
      </c>
      <c r="P107" s="60" t="str">
        <f>IF(Table2[[#This Row],[Counter Number]]="","",Table1[[#This Row],[Old Bus Manufacturer:]])</f>
        <v/>
      </c>
      <c r="Q107" s="60" t="str">
        <f>IF(Table2[[#This Row],[Counter Number]]="","",Table1[[#This Row],[Vehicle Model:]])</f>
        <v/>
      </c>
      <c r="R107" s="165" t="str">
        <f>IF(Table2[[#This Row],[Counter Number]]="","",Table1[[#This Row],[Vehicle Model Year:]])</f>
        <v/>
      </c>
      <c r="S107" s="60" t="str">
        <f>IF(Table2[[#This Row],[Counter Number]]="","",Table1[[#This Row],[Engine Serial Number(s):]])</f>
        <v/>
      </c>
      <c r="T107" s="60" t="str">
        <f>IF(Table2[[#This Row],[Counter Number]]="","",Table1[[#This Row],[Engine Make:]])</f>
        <v/>
      </c>
      <c r="U107" s="60" t="str">
        <f>IF(Table2[[#This Row],[Counter Number]]="","",Table1[[#This Row],[Engine Model:]])</f>
        <v/>
      </c>
      <c r="V107" s="165" t="str">
        <f>IF(Table2[[#This Row],[Counter Number]]="","",Table1[[#This Row],[Engine Model Year:]])</f>
        <v/>
      </c>
      <c r="W107" s="60" t="str">
        <f>IF(Table2[[#This Row],[Counter Number]]="","","NA")</f>
        <v/>
      </c>
      <c r="X107" s="165" t="str">
        <f>IF(Table2[[#This Row],[Counter Number]]="","",Table1[[#This Row],[Engine Horsepower (HP):]])</f>
        <v/>
      </c>
      <c r="Y107" s="165" t="str">
        <f>IF(Table2[[#This Row],[Counter Number]]="","",Table1[[#This Row],[Engine Cylinder Displacement (L):]]&amp;" L")</f>
        <v/>
      </c>
      <c r="Z107" s="165" t="str">
        <f>IF(Table2[[#This Row],[Counter Number]]="","",Table1[[#This Row],[Engine Number of Cylinders:]])</f>
        <v/>
      </c>
      <c r="AA107" s="166" t="str">
        <f>IF(Table2[[#This Row],[Counter Number]]="","",Table1[[#This Row],[Engine Family Name:]])</f>
        <v/>
      </c>
      <c r="AB107" s="60" t="str">
        <f>IF(Table2[[#This Row],[Counter Number]]="","","ULSD")</f>
        <v/>
      </c>
      <c r="AC107" s="167" t="str">
        <f>IF(Table2[[#This Row],[Counter Number]]="","",Table2[[#This Row],[Annual Miles Traveled:]]/Table1[[#This Row],[Old Fuel (mpg)]])</f>
        <v/>
      </c>
      <c r="AD107" s="60" t="str">
        <f>IF(Table2[[#This Row],[Counter Number]]="","","NA")</f>
        <v/>
      </c>
      <c r="AE107" s="168" t="str">
        <f>IF(Table2[[#This Row],[Counter Number]]="","",Table1[[#This Row],[Annual Miles Traveled]])</f>
        <v/>
      </c>
      <c r="AF107" s="169" t="str">
        <f>IF(Table2[[#This Row],[Counter Number]]="","",Table1[[#This Row],[Annual Idling Hours:]])</f>
        <v/>
      </c>
      <c r="AG107" s="60" t="str">
        <f>IF(Table2[[#This Row],[Counter Number]]="","","NA")</f>
        <v/>
      </c>
      <c r="AH107" s="165" t="str">
        <f>IF(Table2[[#This Row],[Counter Number]]="","",IF(Application!$J$25="Set Policy",Table1[[#This Row],[Remaining Life (years)         Set Policy]],Table1[[#This Row],[Remaining Life (years)               Case-by-Case]]))</f>
        <v/>
      </c>
      <c r="AI107" s="165" t="str">
        <f>IF(Table2[[#This Row],[Counter Number]]="","",IF(Application!$J$25="Case-by-Case","NA",Table2[[#This Row],[Fiscal Year of EPA Funds Used:]]+Table2[[#This Row],[Remaining Life:]]))</f>
        <v/>
      </c>
      <c r="AJ107" s="165"/>
      <c r="AK107" s="170" t="str">
        <f>IF(Table2[[#This Row],[Counter Number]]="","",Application!$D$14+1)</f>
        <v/>
      </c>
      <c r="AL107" s="60" t="str">
        <f>IF(Table2[[#This Row],[Counter Number]]="","","Vehicle Replacement")</f>
        <v/>
      </c>
      <c r="AM10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7" s="171" t="str">
        <f>IF(Table2[[#This Row],[Counter Number]]="","",Table1[[#This Row],[Cost of New Bus:]])</f>
        <v/>
      </c>
      <c r="AO107" s="60" t="str">
        <f>IF(Table2[[#This Row],[Counter Number]]="","","NA")</f>
        <v/>
      </c>
      <c r="AP107" s="165" t="str">
        <f>IF(Table2[[#This Row],[Counter Number]]="","",Table1[[#This Row],[New Engine Model Year:]])</f>
        <v/>
      </c>
      <c r="AQ107" s="60" t="str">
        <f>IF(Table2[[#This Row],[Counter Number]]="","","NA")</f>
        <v/>
      </c>
      <c r="AR107" s="165" t="str">
        <f>IF(Table2[[#This Row],[Counter Number]]="","",Table1[[#This Row],[New Engine Horsepower (HP):]])</f>
        <v/>
      </c>
      <c r="AS107" s="60" t="str">
        <f>IF(Table2[[#This Row],[Counter Number]]="","","NA")</f>
        <v/>
      </c>
      <c r="AT107" s="165" t="str">
        <f>IF(Table2[[#This Row],[Counter Number]]="","",Table1[[#This Row],[New Engine Cylinder Displacement (L):]]&amp;" L")</f>
        <v/>
      </c>
      <c r="AU107" s="114" t="str">
        <f>IF(Table2[[#This Row],[Counter Number]]="","",Table1[[#This Row],[New Engine Number of Cylinders:]])</f>
        <v/>
      </c>
      <c r="AV107" s="60" t="str">
        <f>IF(Table2[[#This Row],[Counter Number]]="","",Table1[[#This Row],[New Engine Family Name:]])</f>
        <v/>
      </c>
      <c r="AW10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7" s="60" t="str">
        <f>IF(Table2[[#This Row],[Counter Number]]="","","NA")</f>
        <v/>
      </c>
      <c r="AY107" s="172" t="str">
        <f>IF(Table2[[#This Row],[Counter Number]]="","",IF(Table2[[#This Row],[New Engine Fuel Type:]]="ULSD",Table1[[#This Row],[Annual Miles Traveled]]/Table1[[#This Row],[New Fuel (mpg) if Diesel]],""))</f>
        <v/>
      </c>
      <c r="AZ107" s="60"/>
      <c r="BA107" s="173" t="str">
        <f>IF(Table2[[#This Row],[Counter Number]]="","",Table2[[#This Row],[Annual Miles Traveled:]]*VLOOKUP(Table2[[#This Row],[Engine Model Year:]],EFTable[],3,FALSE))</f>
        <v/>
      </c>
      <c r="BB107" s="173" t="str">
        <f>IF(Table2[[#This Row],[Counter Number]]="","",Table2[[#This Row],[Annual Miles Traveled:]]*IF(Table2[[#This Row],[New Engine Fuel Type:]]="ULSD",VLOOKUP(Table2[[#This Row],[New Engine Model Year:]],EFTable[],3,FALSE),VLOOKUP(Table2[[#This Row],[New Engine Fuel Type:]],EFTable[],3,FALSE)))</f>
        <v/>
      </c>
      <c r="BC107" s="187" t="str">
        <f>IF(Table2[[#This Row],[Counter Number]]="","",Table2[[#This Row],[Old Bus NOx Emissions (tons/yr)]]-Table2[[#This Row],[New Bus NOx Emissions (tons/yr)]])</f>
        <v/>
      </c>
      <c r="BD107" s="188" t="str">
        <f>IF(Table2[[#This Row],[Counter Number]]="","",Table2[[#This Row],[Reduction Bus NOx Emissions (tons/yr)]]/Table2[[#This Row],[Old Bus NOx Emissions (tons/yr)]])</f>
        <v/>
      </c>
      <c r="BE107" s="175" t="str">
        <f>IF(Table2[[#This Row],[Counter Number]]="","",Table2[[#This Row],[Reduction Bus NOx Emissions (tons/yr)]]*Table2[[#This Row],[Remaining Life:]])</f>
        <v/>
      </c>
      <c r="BF107" s="189" t="str">
        <f>IF(Table2[[#This Row],[Counter Number]]="","",IF(Table2[[#This Row],[Lifetime NOx Reduction (tons)]]=0,"NA",Table2[[#This Row],[Upgrade Cost Per Unit]]/Table2[[#This Row],[Lifetime NOx Reduction (tons)]]))</f>
        <v/>
      </c>
      <c r="BG107" s="190" t="str">
        <f>IF(Table2[[#This Row],[Counter Number]]="","",Table2[[#This Row],[Annual Miles Traveled:]]*VLOOKUP(Table2[[#This Row],[Engine Model Year:]],EF!$A$2:$G$27,4,FALSE))</f>
        <v/>
      </c>
      <c r="BH107" s="173" t="str">
        <f>IF(Table2[[#This Row],[Counter Number]]="","",Table2[[#This Row],[Annual Miles Traveled:]]*IF(Table2[[#This Row],[New Engine Fuel Type:]]="ULSD",VLOOKUP(Table2[[#This Row],[New Engine Model Year:]],EFTable[],4,FALSE),VLOOKUP(Table2[[#This Row],[New Engine Fuel Type:]],EFTable[],4,FALSE)))</f>
        <v/>
      </c>
      <c r="BI107" s="191" t="str">
        <f>IF(Table2[[#This Row],[Counter Number]]="","",Table2[[#This Row],[Old Bus PM2.5 Emissions (tons/yr)]]-Table2[[#This Row],[New Bus PM2.5 Emissions (tons/yr)]])</f>
        <v/>
      </c>
      <c r="BJ107" s="192" t="str">
        <f>IF(Table2[[#This Row],[Counter Number]]="","",Table2[[#This Row],[Reduction Bus PM2.5 Emissions (tons/yr)]]/Table2[[#This Row],[Old Bus PM2.5 Emissions (tons/yr)]])</f>
        <v/>
      </c>
      <c r="BK107" s="193" t="str">
        <f>IF(Table2[[#This Row],[Counter Number]]="","",Table2[[#This Row],[Reduction Bus PM2.5 Emissions (tons/yr)]]*Table2[[#This Row],[Remaining Life:]])</f>
        <v/>
      </c>
      <c r="BL107" s="194" t="str">
        <f>IF(Table2[[#This Row],[Counter Number]]="","",IF(Table2[[#This Row],[Lifetime PM2.5 Reduction (tons)]]=0,"NA",Table2[[#This Row],[Upgrade Cost Per Unit]]/Table2[[#This Row],[Lifetime PM2.5 Reduction (tons)]]))</f>
        <v/>
      </c>
      <c r="BM107" s="179" t="str">
        <f>IF(Table2[[#This Row],[Counter Number]]="","",Table2[[#This Row],[Annual Miles Traveled:]]*VLOOKUP(Table2[[#This Row],[Engine Model Year:]],EF!$A$2:$G$40,5,FALSE))</f>
        <v/>
      </c>
      <c r="BN107" s="173" t="str">
        <f>IF(Table2[[#This Row],[Counter Number]]="","",Table2[[#This Row],[Annual Miles Traveled:]]*IF(Table2[[#This Row],[New Engine Fuel Type:]]="ULSD",VLOOKUP(Table2[[#This Row],[New Engine Model Year:]],EFTable[],5,FALSE),VLOOKUP(Table2[[#This Row],[New Engine Fuel Type:]],EFTable[],5,FALSE)))</f>
        <v/>
      </c>
      <c r="BO107" s="190" t="str">
        <f>IF(Table2[[#This Row],[Counter Number]]="","",Table2[[#This Row],[Old Bus HC Emissions (tons/yr)]]-Table2[[#This Row],[New Bus HC Emissions (tons/yr)]])</f>
        <v/>
      </c>
      <c r="BP107" s="188" t="str">
        <f>IF(Table2[[#This Row],[Counter Number]]="","",Table2[[#This Row],[Reduction Bus HC Emissions (tons/yr)]]/Table2[[#This Row],[Old Bus HC Emissions (tons/yr)]])</f>
        <v/>
      </c>
      <c r="BQ107" s="193" t="str">
        <f>IF(Table2[[#This Row],[Counter Number]]="","",Table2[[#This Row],[Reduction Bus HC Emissions (tons/yr)]]*Table2[[#This Row],[Remaining Life:]])</f>
        <v/>
      </c>
      <c r="BR107" s="194" t="str">
        <f>IF(Table2[[#This Row],[Counter Number]]="","",IF(Table2[[#This Row],[Lifetime HC Reduction (tons)]]=0,"NA",Table2[[#This Row],[Upgrade Cost Per Unit]]/Table2[[#This Row],[Lifetime HC Reduction (tons)]]))</f>
        <v/>
      </c>
      <c r="BS107" s="191" t="str">
        <f>IF(Table2[[#This Row],[Counter Number]]="","",Table2[[#This Row],[Annual Miles Traveled:]]*VLOOKUP(Table2[[#This Row],[Engine Model Year:]],EF!$A$2:$G$27,6,FALSE))</f>
        <v/>
      </c>
      <c r="BT107" s="173" t="str">
        <f>IF(Table2[[#This Row],[Counter Number]]="","",Table2[[#This Row],[Annual Miles Traveled:]]*IF(Table2[[#This Row],[New Engine Fuel Type:]]="ULSD",VLOOKUP(Table2[[#This Row],[New Engine Model Year:]],EFTable[],6,FALSE),VLOOKUP(Table2[[#This Row],[New Engine Fuel Type:]],EFTable[],6,FALSE)))</f>
        <v/>
      </c>
      <c r="BU107" s="190" t="str">
        <f>IF(Table2[[#This Row],[Counter Number]]="","",Table2[[#This Row],[Old Bus CO Emissions (tons/yr)]]-Table2[[#This Row],[New Bus CO Emissions (tons/yr)]])</f>
        <v/>
      </c>
      <c r="BV107" s="188" t="str">
        <f>IF(Table2[[#This Row],[Counter Number]]="","",Table2[[#This Row],[Reduction Bus CO Emissions (tons/yr)]]/Table2[[#This Row],[Old Bus CO Emissions (tons/yr)]])</f>
        <v/>
      </c>
      <c r="BW107" s="193" t="str">
        <f>IF(Table2[[#This Row],[Counter Number]]="","",Table2[[#This Row],[Reduction Bus CO Emissions (tons/yr)]]*Table2[[#This Row],[Remaining Life:]])</f>
        <v/>
      </c>
      <c r="BX107" s="194" t="str">
        <f>IF(Table2[[#This Row],[Counter Number]]="","",IF(Table2[[#This Row],[Lifetime CO Reduction (tons)]]=0,"NA",Table2[[#This Row],[Upgrade Cost Per Unit]]/Table2[[#This Row],[Lifetime CO Reduction (tons)]]))</f>
        <v/>
      </c>
      <c r="BY107" s="180" t="str">
        <f>IF(Table2[[#This Row],[Counter Number]]="","",Table2[[#This Row],[Old ULSD Used (gal):]]*VLOOKUP(Table2[[#This Row],[Engine Model Year:]],EF!$A$2:$G$27,7,FALSE))</f>
        <v/>
      </c>
      <c r="BZ10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7" s="195" t="str">
        <f>IF(Table2[[#This Row],[Counter Number]]="","",Table2[[#This Row],[Old Bus CO2 Emissions (tons/yr)]]-Table2[[#This Row],[New Bus CO2 Emissions (tons/yr)]])</f>
        <v/>
      </c>
      <c r="CB107" s="188" t="str">
        <f>IF(Table2[[#This Row],[Counter Number]]="","",Table2[[#This Row],[Reduction Bus CO2 Emissions (tons/yr)]]/Table2[[#This Row],[Old Bus CO2 Emissions (tons/yr)]])</f>
        <v/>
      </c>
      <c r="CC107" s="195" t="str">
        <f>IF(Table2[[#This Row],[Counter Number]]="","",Table2[[#This Row],[Reduction Bus CO2 Emissions (tons/yr)]]*Table2[[#This Row],[Remaining Life:]])</f>
        <v/>
      </c>
      <c r="CD107" s="194" t="str">
        <f>IF(Table2[[#This Row],[Counter Number]]="","",IF(Table2[[#This Row],[Lifetime CO2 Reduction (tons)]]=0,"NA",Table2[[#This Row],[Upgrade Cost Per Unit]]/Table2[[#This Row],[Lifetime CO2 Reduction (tons)]]))</f>
        <v/>
      </c>
      <c r="CE107" s="182" t="str">
        <f>IF(Table2[[#This Row],[Counter Number]]="","",IF(Table2[[#This Row],[New ULSD Used (gal):]]="",Table2[[#This Row],[Old ULSD Used (gal):]],Table2[[#This Row],[Old ULSD Used (gal):]]-Table2[[#This Row],[New ULSD Used (gal):]]))</f>
        <v/>
      </c>
      <c r="CF107" s="196" t="str">
        <f>IF(Table2[[#This Row],[Counter Number]]="","",Table2[[#This Row],[Diesel Fuel Reduction (gal/yr)]]/Table2[[#This Row],[Old ULSD Used (gal):]])</f>
        <v/>
      </c>
      <c r="CG107" s="197" t="str">
        <f>IF(Table2[[#This Row],[Counter Number]]="","",Table2[[#This Row],[Diesel Fuel Reduction (gal/yr)]]*Table2[[#This Row],[Remaining Life:]])</f>
        <v/>
      </c>
    </row>
    <row r="108" spans="1:85">
      <c r="A108" s="184" t="str">
        <f>IF(A107&lt;Application!$D$24,A107+1,"")</f>
        <v/>
      </c>
      <c r="B108" s="60" t="str">
        <f>IF(Table2[[#This Row],[Counter Number]]="","",Application!$D$16)</f>
        <v/>
      </c>
      <c r="C108" s="60" t="str">
        <f>IF(Table2[[#This Row],[Counter Number]]="","",Application!$D$14)</f>
        <v/>
      </c>
      <c r="D108" s="60" t="str">
        <f>IF(Table2[[#This Row],[Counter Number]]="","",Table1[[#This Row],[Old Bus Number]])</f>
        <v/>
      </c>
      <c r="E108" s="60" t="str">
        <f>IF(Table2[[#This Row],[Counter Number]]="","",Application!$D$15)</f>
        <v/>
      </c>
      <c r="F108" s="60" t="str">
        <f>IF(Table2[[#This Row],[Counter Number]]="","","On Highway")</f>
        <v/>
      </c>
      <c r="G108" s="60" t="str">
        <f>IF(Table2[[#This Row],[Counter Number]]="","",I108)</f>
        <v/>
      </c>
      <c r="H108" s="60" t="str">
        <f>IF(Table2[[#This Row],[Counter Number]]="","","Georgia")</f>
        <v/>
      </c>
      <c r="I108" s="60" t="str">
        <f>IF(Table2[[#This Row],[Counter Number]]="","",Application!$D$16)</f>
        <v/>
      </c>
      <c r="J108" s="60" t="str">
        <f>IF(Table2[[#This Row],[Counter Number]]="","",Application!$D$21)</f>
        <v/>
      </c>
      <c r="K108" s="60" t="str">
        <f>IF(Table2[[#This Row],[Counter Number]]="","",Application!$J$21)</f>
        <v/>
      </c>
      <c r="L108" s="60" t="str">
        <f>IF(Table2[[#This Row],[Counter Number]]="","","School Bus")</f>
        <v/>
      </c>
      <c r="M108" s="60" t="str">
        <f>IF(Table2[[#This Row],[Counter Number]]="","","School Bus")</f>
        <v/>
      </c>
      <c r="N108" s="60" t="str">
        <f>IF(Table2[[#This Row],[Counter Number]]="","",1)</f>
        <v/>
      </c>
      <c r="O108" s="60" t="str">
        <f>IF(Table2[[#This Row],[Counter Number]]="","",Table1[[#This Row],[Vehicle Identification Number(s):]])</f>
        <v/>
      </c>
      <c r="P108" s="60" t="str">
        <f>IF(Table2[[#This Row],[Counter Number]]="","",Table1[[#This Row],[Old Bus Manufacturer:]])</f>
        <v/>
      </c>
      <c r="Q108" s="60" t="str">
        <f>IF(Table2[[#This Row],[Counter Number]]="","",Table1[[#This Row],[Vehicle Model:]])</f>
        <v/>
      </c>
      <c r="R108" s="165" t="str">
        <f>IF(Table2[[#This Row],[Counter Number]]="","",Table1[[#This Row],[Vehicle Model Year:]])</f>
        <v/>
      </c>
      <c r="S108" s="60" t="str">
        <f>IF(Table2[[#This Row],[Counter Number]]="","",Table1[[#This Row],[Engine Serial Number(s):]])</f>
        <v/>
      </c>
      <c r="T108" s="60" t="str">
        <f>IF(Table2[[#This Row],[Counter Number]]="","",Table1[[#This Row],[Engine Make:]])</f>
        <v/>
      </c>
      <c r="U108" s="60" t="str">
        <f>IF(Table2[[#This Row],[Counter Number]]="","",Table1[[#This Row],[Engine Model:]])</f>
        <v/>
      </c>
      <c r="V108" s="165" t="str">
        <f>IF(Table2[[#This Row],[Counter Number]]="","",Table1[[#This Row],[Engine Model Year:]])</f>
        <v/>
      </c>
      <c r="W108" s="60" t="str">
        <f>IF(Table2[[#This Row],[Counter Number]]="","","NA")</f>
        <v/>
      </c>
      <c r="X108" s="165" t="str">
        <f>IF(Table2[[#This Row],[Counter Number]]="","",Table1[[#This Row],[Engine Horsepower (HP):]])</f>
        <v/>
      </c>
      <c r="Y108" s="165" t="str">
        <f>IF(Table2[[#This Row],[Counter Number]]="","",Table1[[#This Row],[Engine Cylinder Displacement (L):]]&amp;" L")</f>
        <v/>
      </c>
      <c r="Z108" s="165" t="str">
        <f>IF(Table2[[#This Row],[Counter Number]]="","",Table1[[#This Row],[Engine Number of Cylinders:]])</f>
        <v/>
      </c>
      <c r="AA108" s="166" t="str">
        <f>IF(Table2[[#This Row],[Counter Number]]="","",Table1[[#This Row],[Engine Family Name:]])</f>
        <v/>
      </c>
      <c r="AB108" s="60" t="str">
        <f>IF(Table2[[#This Row],[Counter Number]]="","","ULSD")</f>
        <v/>
      </c>
      <c r="AC108" s="167" t="str">
        <f>IF(Table2[[#This Row],[Counter Number]]="","",Table2[[#This Row],[Annual Miles Traveled:]]/Table1[[#This Row],[Old Fuel (mpg)]])</f>
        <v/>
      </c>
      <c r="AD108" s="60" t="str">
        <f>IF(Table2[[#This Row],[Counter Number]]="","","NA")</f>
        <v/>
      </c>
      <c r="AE108" s="168" t="str">
        <f>IF(Table2[[#This Row],[Counter Number]]="","",Table1[[#This Row],[Annual Miles Traveled]])</f>
        <v/>
      </c>
      <c r="AF108" s="169" t="str">
        <f>IF(Table2[[#This Row],[Counter Number]]="","",Table1[[#This Row],[Annual Idling Hours:]])</f>
        <v/>
      </c>
      <c r="AG108" s="60" t="str">
        <f>IF(Table2[[#This Row],[Counter Number]]="","","NA")</f>
        <v/>
      </c>
      <c r="AH108" s="165" t="str">
        <f>IF(Table2[[#This Row],[Counter Number]]="","",IF(Application!$J$25="Set Policy",Table1[[#This Row],[Remaining Life (years)         Set Policy]],Table1[[#This Row],[Remaining Life (years)               Case-by-Case]]))</f>
        <v/>
      </c>
      <c r="AI108" s="165" t="str">
        <f>IF(Table2[[#This Row],[Counter Number]]="","",IF(Application!$J$25="Case-by-Case","NA",Table2[[#This Row],[Fiscal Year of EPA Funds Used:]]+Table2[[#This Row],[Remaining Life:]]))</f>
        <v/>
      </c>
      <c r="AJ108" s="165"/>
      <c r="AK108" s="170" t="str">
        <f>IF(Table2[[#This Row],[Counter Number]]="","",Application!$D$14+1)</f>
        <v/>
      </c>
      <c r="AL108" s="60" t="str">
        <f>IF(Table2[[#This Row],[Counter Number]]="","","Vehicle Replacement")</f>
        <v/>
      </c>
      <c r="AM10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8" s="171" t="str">
        <f>IF(Table2[[#This Row],[Counter Number]]="","",Table1[[#This Row],[Cost of New Bus:]])</f>
        <v/>
      </c>
      <c r="AO108" s="60" t="str">
        <f>IF(Table2[[#This Row],[Counter Number]]="","","NA")</f>
        <v/>
      </c>
      <c r="AP108" s="165" t="str">
        <f>IF(Table2[[#This Row],[Counter Number]]="","",Table1[[#This Row],[New Engine Model Year:]])</f>
        <v/>
      </c>
      <c r="AQ108" s="60" t="str">
        <f>IF(Table2[[#This Row],[Counter Number]]="","","NA")</f>
        <v/>
      </c>
      <c r="AR108" s="165" t="str">
        <f>IF(Table2[[#This Row],[Counter Number]]="","",Table1[[#This Row],[New Engine Horsepower (HP):]])</f>
        <v/>
      </c>
      <c r="AS108" s="60" t="str">
        <f>IF(Table2[[#This Row],[Counter Number]]="","","NA")</f>
        <v/>
      </c>
      <c r="AT108" s="165" t="str">
        <f>IF(Table2[[#This Row],[Counter Number]]="","",Table1[[#This Row],[New Engine Cylinder Displacement (L):]]&amp;" L")</f>
        <v/>
      </c>
      <c r="AU108" s="114" t="str">
        <f>IF(Table2[[#This Row],[Counter Number]]="","",Table1[[#This Row],[New Engine Number of Cylinders:]])</f>
        <v/>
      </c>
      <c r="AV108" s="60" t="str">
        <f>IF(Table2[[#This Row],[Counter Number]]="","",Table1[[#This Row],[New Engine Family Name:]])</f>
        <v/>
      </c>
      <c r="AW10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8" s="60" t="str">
        <f>IF(Table2[[#This Row],[Counter Number]]="","","NA")</f>
        <v/>
      </c>
      <c r="AY108" s="172" t="str">
        <f>IF(Table2[[#This Row],[Counter Number]]="","",IF(Table2[[#This Row],[New Engine Fuel Type:]]="ULSD",Table1[[#This Row],[Annual Miles Traveled]]/Table1[[#This Row],[New Fuel (mpg) if Diesel]],""))</f>
        <v/>
      </c>
      <c r="AZ108" s="60"/>
      <c r="BA108" s="173" t="str">
        <f>IF(Table2[[#This Row],[Counter Number]]="","",Table2[[#This Row],[Annual Miles Traveled:]]*VLOOKUP(Table2[[#This Row],[Engine Model Year:]],EFTable[],3,FALSE))</f>
        <v/>
      </c>
      <c r="BB108" s="173" t="str">
        <f>IF(Table2[[#This Row],[Counter Number]]="","",Table2[[#This Row],[Annual Miles Traveled:]]*IF(Table2[[#This Row],[New Engine Fuel Type:]]="ULSD",VLOOKUP(Table2[[#This Row],[New Engine Model Year:]],EFTable[],3,FALSE),VLOOKUP(Table2[[#This Row],[New Engine Fuel Type:]],EFTable[],3,FALSE)))</f>
        <v/>
      </c>
      <c r="BC108" s="187" t="str">
        <f>IF(Table2[[#This Row],[Counter Number]]="","",Table2[[#This Row],[Old Bus NOx Emissions (tons/yr)]]-Table2[[#This Row],[New Bus NOx Emissions (tons/yr)]])</f>
        <v/>
      </c>
      <c r="BD108" s="188" t="str">
        <f>IF(Table2[[#This Row],[Counter Number]]="","",Table2[[#This Row],[Reduction Bus NOx Emissions (tons/yr)]]/Table2[[#This Row],[Old Bus NOx Emissions (tons/yr)]])</f>
        <v/>
      </c>
      <c r="BE108" s="175" t="str">
        <f>IF(Table2[[#This Row],[Counter Number]]="","",Table2[[#This Row],[Reduction Bus NOx Emissions (tons/yr)]]*Table2[[#This Row],[Remaining Life:]])</f>
        <v/>
      </c>
      <c r="BF108" s="189" t="str">
        <f>IF(Table2[[#This Row],[Counter Number]]="","",IF(Table2[[#This Row],[Lifetime NOx Reduction (tons)]]=0,"NA",Table2[[#This Row],[Upgrade Cost Per Unit]]/Table2[[#This Row],[Lifetime NOx Reduction (tons)]]))</f>
        <v/>
      </c>
      <c r="BG108" s="190" t="str">
        <f>IF(Table2[[#This Row],[Counter Number]]="","",Table2[[#This Row],[Annual Miles Traveled:]]*VLOOKUP(Table2[[#This Row],[Engine Model Year:]],EF!$A$2:$G$27,4,FALSE))</f>
        <v/>
      </c>
      <c r="BH108" s="173" t="str">
        <f>IF(Table2[[#This Row],[Counter Number]]="","",Table2[[#This Row],[Annual Miles Traveled:]]*IF(Table2[[#This Row],[New Engine Fuel Type:]]="ULSD",VLOOKUP(Table2[[#This Row],[New Engine Model Year:]],EFTable[],4,FALSE),VLOOKUP(Table2[[#This Row],[New Engine Fuel Type:]],EFTable[],4,FALSE)))</f>
        <v/>
      </c>
      <c r="BI108" s="191" t="str">
        <f>IF(Table2[[#This Row],[Counter Number]]="","",Table2[[#This Row],[Old Bus PM2.5 Emissions (tons/yr)]]-Table2[[#This Row],[New Bus PM2.5 Emissions (tons/yr)]])</f>
        <v/>
      </c>
      <c r="BJ108" s="192" t="str">
        <f>IF(Table2[[#This Row],[Counter Number]]="","",Table2[[#This Row],[Reduction Bus PM2.5 Emissions (tons/yr)]]/Table2[[#This Row],[Old Bus PM2.5 Emissions (tons/yr)]])</f>
        <v/>
      </c>
      <c r="BK108" s="193" t="str">
        <f>IF(Table2[[#This Row],[Counter Number]]="","",Table2[[#This Row],[Reduction Bus PM2.5 Emissions (tons/yr)]]*Table2[[#This Row],[Remaining Life:]])</f>
        <v/>
      </c>
      <c r="BL108" s="194" t="str">
        <f>IF(Table2[[#This Row],[Counter Number]]="","",IF(Table2[[#This Row],[Lifetime PM2.5 Reduction (tons)]]=0,"NA",Table2[[#This Row],[Upgrade Cost Per Unit]]/Table2[[#This Row],[Lifetime PM2.5 Reduction (tons)]]))</f>
        <v/>
      </c>
      <c r="BM108" s="179" t="str">
        <f>IF(Table2[[#This Row],[Counter Number]]="","",Table2[[#This Row],[Annual Miles Traveled:]]*VLOOKUP(Table2[[#This Row],[Engine Model Year:]],EF!$A$2:$G$40,5,FALSE))</f>
        <v/>
      </c>
      <c r="BN108" s="173" t="str">
        <f>IF(Table2[[#This Row],[Counter Number]]="","",Table2[[#This Row],[Annual Miles Traveled:]]*IF(Table2[[#This Row],[New Engine Fuel Type:]]="ULSD",VLOOKUP(Table2[[#This Row],[New Engine Model Year:]],EFTable[],5,FALSE),VLOOKUP(Table2[[#This Row],[New Engine Fuel Type:]],EFTable[],5,FALSE)))</f>
        <v/>
      </c>
      <c r="BO108" s="190" t="str">
        <f>IF(Table2[[#This Row],[Counter Number]]="","",Table2[[#This Row],[Old Bus HC Emissions (tons/yr)]]-Table2[[#This Row],[New Bus HC Emissions (tons/yr)]])</f>
        <v/>
      </c>
      <c r="BP108" s="188" t="str">
        <f>IF(Table2[[#This Row],[Counter Number]]="","",Table2[[#This Row],[Reduction Bus HC Emissions (tons/yr)]]/Table2[[#This Row],[Old Bus HC Emissions (tons/yr)]])</f>
        <v/>
      </c>
      <c r="BQ108" s="193" t="str">
        <f>IF(Table2[[#This Row],[Counter Number]]="","",Table2[[#This Row],[Reduction Bus HC Emissions (tons/yr)]]*Table2[[#This Row],[Remaining Life:]])</f>
        <v/>
      </c>
      <c r="BR108" s="194" t="str">
        <f>IF(Table2[[#This Row],[Counter Number]]="","",IF(Table2[[#This Row],[Lifetime HC Reduction (tons)]]=0,"NA",Table2[[#This Row],[Upgrade Cost Per Unit]]/Table2[[#This Row],[Lifetime HC Reduction (tons)]]))</f>
        <v/>
      </c>
      <c r="BS108" s="191" t="str">
        <f>IF(Table2[[#This Row],[Counter Number]]="","",Table2[[#This Row],[Annual Miles Traveled:]]*VLOOKUP(Table2[[#This Row],[Engine Model Year:]],EF!$A$2:$G$27,6,FALSE))</f>
        <v/>
      </c>
      <c r="BT108" s="173" t="str">
        <f>IF(Table2[[#This Row],[Counter Number]]="","",Table2[[#This Row],[Annual Miles Traveled:]]*IF(Table2[[#This Row],[New Engine Fuel Type:]]="ULSD",VLOOKUP(Table2[[#This Row],[New Engine Model Year:]],EFTable[],6,FALSE),VLOOKUP(Table2[[#This Row],[New Engine Fuel Type:]],EFTable[],6,FALSE)))</f>
        <v/>
      </c>
      <c r="BU108" s="190" t="str">
        <f>IF(Table2[[#This Row],[Counter Number]]="","",Table2[[#This Row],[Old Bus CO Emissions (tons/yr)]]-Table2[[#This Row],[New Bus CO Emissions (tons/yr)]])</f>
        <v/>
      </c>
      <c r="BV108" s="188" t="str">
        <f>IF(Table2[[#This Row],[Counter Number]]="","",Table2[[#This Row],[Reduction Bus CO Emissions (tons/yr)]]/Table2[[#This Row],[Old Bus CO Emissions (tons/yr)]])</f>
        <v/>
      </c>
      <c r="BW108" s="193" t="str">
        <f>IF(Table2[[#This Row],[Counter Number]]="","",Table2[[#This Row],[Reduction Bus CO Emissions (tons/yr)]]*Table2[[#This Row],[Remaining Life:]])</f>
        <v/>
      </c>
      <c r="BX108" s="194" t="str">
        <f>IF(Table2[[#This Row],[Counter Number]]="","",IF(Table2[[#This Row],[Lifetime CO Reduction (tons)]]=0,"NA",Table2[[#This Row],[Upgrade Cost Per Unit]]/Table2[[#This Row],[Lifetime CO Reduction (tons)]]))</f>
        <v/>
      </c>
      <c r="BY108" s="180" t="str">
        <f>IF(Table2[[#This Row],[Counter Number]]="","",Table2[[#This Row],[Old ULSD Used (gal):]]*VLOOKUP(Table2[[#This Row],[Engine Model Year:]],EF!$A$2:$G$27,7,FALSE))</f>
        <v/>
      </c>
      <c r="BZ10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8" s="195" t="str">
        <f>IF(Table2[[#This Row],[Counter Number]]="","",Table2[[#This Row],[Old Bus CO2 Emissions (tons/yr)]]-Table2[[#This Row],[New Bus CO2 Emissions (tons/yr)]])</f>
        <v/>
      </c>
      <c r="CB108" s="188" t="str">
        <f>IF(Table2[[#This Row],[Counter Number]]="","",Table2[[#This Row],[Reduction Bus CO2 Emissions (tons/yr)]]/Table2[[#This Row],[Old Bus CO2 Emissions (tons/yr)]])</f>
        <v/>
      </c>
      <c r="CC108" s="195" t="str">
        <f>IF(Table2[[#This Row],[Counter Number]]="","",Table2[[#This Row],[Reduction Bus CO2 Emissions (tons/yr)]]*Table2[[#This Row],[Remaining Life:]])</f>
        <v/>
      </c>
      <c r="CD108" s="194" t="str">
        <f>IF(Table2[[#This Row],[Counter Number]]="","",IF(Table2[[#This Row],[Lifetime CO2 Reduction (tons)]]=0,"NA",Table2[[#This Row],[Upgrade Cost Per Unit]]/Table2[[#This Row],[Lifetime CO2 Reduction (tons)]]))</f>
        <v/>
      </c>
      <c r="CE108" s="182" t="str">
        <f>IF(Table2[[#This Row],[Counter Number]]="","",IF(Table2[[#This Row],[New ULSD Used (gal):]]="",Table2[[#This Row],[Old ULSD Used (gal):]],Table2[[#This Row],[Old ULSD Used (gal):]]-Table2[[#This Row],[New ULSD Used (gal):]]))</f>
        <v/>
      </c>
      <c r="CF108" s="196" t="str">
        <f>IF(Table2[[#This Row],[Counter Number]]="","",Table2[[#This Row],[Diesel Fuel Reduction (gal/yr)]]/Table2[[#This Row],[Old ULSD Used (gal):]])</f>
        <v/>
      </c>
      <c r="CG108" s="197" t="str">
        <f>IF(Table2[[#This Row],[Counter Number]]="","",Table2[[#This Row],[Diesel Fuel Reduction (gal/yr)]]*Table2[[#This Row],[Remaining Life:]])</f>
        <v/>
      </c>
    </row>
    <row r="109" spans="1:85">
      <c r="A109" s="184" t="str">
        <f>IF(A108&lt;Application!$D$24,A108+1,"")</f>
        <v/>
      </c>
      <c r="B109" s="60" t="str">
        <f>IF(Table2[[#This Row],[Counter Number]]="","",Application!$D$16)</f>
        <v/>
      </c>
      <c r="C109" s="60" t="str">
        <f>IF(Table2[[#This Row],[Counter Number]]="","",Application!$D$14)</f>
        <v/>
      </c>
      <c r="D109" s="60" t="str">
        <f>IF(Table2[[#This Row],[Counter Number]]="","",Table1[[#This Row],[Old Bus Number]])</f>
        <v/>
      </c>
      <c r="E109" s="60" t="str">
        <f>IF(Table2[[#This Row],[Counter Number]]="","",Application!$D$15)</f>
        <v/>
      </c>
      <c r="F109" s="60" t="str">
        <f>IF(Table2[[#This Row],[Counter Number]]="","","On Highway")</f>
        <v/>
      </c>
      <c r="G109" s="60" t="str">
        <f>IF(Table2[[#This Row],[Counter Number]]="","",I109)</f>
        <v/>
      </c>
      <c r="H109" s="60" t="str">
        <f>IF(Table2[[#This Row],[Counter Number]]="","","Georgia")</f>
        <v/>
      </c>
      <c r="I109" s="60" t="str">
        <f>IF(Table2[[#This Row],[Counter Number]]="","",Application!$D$16)</f>
        <v/>
      </c>
      <c r="J109" s="60" t="str">
        <f>IF(Table2[[#This Row],[Counter Number]]="","",Application!$D$21)</f>
        <v/>
      </c>
      <c r="K109" s="60" t="str">
        <f>IF(Table2[[#This Row],[Counter Number]]="","",Application!$J$21)</f>
        <v/>
      </c>
      <c r="L109" s="60" t="str">
        <f>IF(Table2[[#This Row],[Counter Number]]="","","School Bus")</f>
        <v/>
      </c>
      <c r="M109" s="60" t="str">
        <f>IF(Table2[[#This Row],[Counter Number]]="","","School Bus")</f>
        <v/>
      </c>
      <c r="N109" s="60" t="str">
        <f>IF(Table2[[#This Row],[Counter Number]]="","",1)</f>
        <v/>
      </c>
      <c r="O109" s="60" t="str">
        <f>IF(Table2[[#This Row],[Counter Number]]="","",Table1[[#This Row],[Vehicle Identification Number(s):]])</f>
        <v/>
      </c>
      <c r="P109" s="60" t="str">
        <f>IF(Table2[[#This Row],[Counter Number]]="","",Table1[[#This Row],[Old Bus Manufacturer:]])</f>
        <v/>
      </c>
      <c r="Q109" s="60" t="str">
        <f>IF(Table2[[#This Row],[Counter Number]]="","",Table1[[#This Row],[Vehicle Model:]])</f>
        <v/>
      </c>
      <c r="R109" s="165" t="str">
        <f>IF(Table2[[#This Row],[Counter Number]]="","",Table1[[#This Row],[Vehicle Model Year:]])</f>
        <v/>
      </c>
      <c r="S109" s="60" t="str">
        <f>IF(Table2[[#This Row],[Counter Number]]="","",Table1[[#This Row],[Engine Serial Number(s):]])</f>
        <v/>
      </c>
      <c r="T109" s="60" t="str">
        <f>IF(Table2[[#This Row],[Counter Number]]="","",Table1[[#This Row],[Engine Make:]])</f>
        <v/>
      </c>
      <c r="U109" s="60" t="str">
        <f>IF(Table2[[#This Row],[Counter Number]]="","",Table1[[#This Row],[Engine Model:]])</f>
        <v/>
      </c>
      <c r="V109" s="165" t="str">
        <f>IF(Table2[[#This Row],[Counter Number]]="","",Table1[[#This Row],[Engine Model Year:]])</f>
        <v/>
      </c>
      <c r="W109" s="60" t="str">
        <f>IF(Table2[[#This Row],[Counter Number]]="","","NA")</f>
        <v/>
      </c>
      <c r="X109" s="165" t="str">
        <f>IF(Table2[[#This Row],[Counter Number]]="","",Table1[[#This Row],[Engine Horsepower (HP):]])</f>
        <v/>
      </c>
      <c r="Y109" s="165" t="str">
        <f>IF(Table2[[#This Row],[Counter Number]]="","",Table1[[#This Row],[Engine Cylinder Displacement (L):]]&amp;" L")</f>
        <v/>
      </c>
      <c r="Z109" s="165" t="str">
        <f>IF(Table2[[#This Row],[Counter Number]]="","",Table1[[#This Row],[Engine Number of Cylinders:]])</f>
        <v/>
      </c>
      <c r="AA109" s="166" t="str">
        <f>IF(Table2[[#This Row],[Counter Number]]="","",Table1[[#This Row],[Engine Family Name:]])</f>
        <v/>
      </c>
      <c r="AB109" s="60" t="str">
        <f>IF(Table2[[#This Row],[Counter Number]]="","","ULSD")</f>
        <v/>
      </c>
      <c r="AC109" s="167" t="str">
        <f>IF(Table2[[#This Row],[Counter Number]]="","",Table2[[#This Row],[Annual Miles Traveled:]]/Table1[[#This Row],[Old Fuel (mpg)]])</f>
        <v/>
      </c>
      <c r="AD109" s="60" t="str">
        <f>IF(Table2[[#This Row],[Counter Number]]="","","NA")</f>
        <v/>
      </c>
      <c r="AE109" s="168" t="str">
        <f>IF(Table2[[#This Row],[Counter Number]]="","",Table1[[#This Row],[Annual Miles Traveled]])</f>
        <v/>
      </c>
      <c r="AF109" s="169" t="str">
        <f>IF(Table2[[#This Row],[Counter Number]]="","",Table1[[#This Row],[Annual Idling Hours:]])</f>
        <v/>
      </c>
      <c r="AG109" s="60" t="str">
        <f>IF(Table2[[#This Row],[Counter Number]]="","","NA")</f>
        <v/>
      </c>
      <c r="AH109" s="165" t="str">
        <f>IF(Table2[[#This Row],[Counter Number]]="","",IF(Application!$J$25="Set Policy",Table1[[#This Row],[Remaining Life (years)         Set Policy]],Table1[[#This Row],[Remaining Life (years)               Case-by-Case]]))</f>
        <v/>
      </c>
      <c r="AI109" s="165" t="str">
        <f>IF(Table2[[#This Row],[Counter Number]]="","",IF(Application!$J$25="Case-by-Case","NA",Table2[[#This Row],[Fiscal Year of EPA Funds Used:]]+Table2[[#This Row],[Remaining Life:]]))</f>
        <v/>
      </c>
      <c r="AJ109" s="165"/>
      <c r="AK109" s="170" t="str">
        <f>IF(Table2[[#This Row],[Counter Number]]="","",Application!$D$14+1)</f>
        <v/>
      </c>
      <c r="AL109" s="60" t="str">
        <f>IF(Table2[[#This Row],[Counter Number]]="","","Vehicle Replacement")</f>
        <v/>
      </c>
      <c r="AM10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9" s="171" t="str">
        <f>IF(Table2[[#This Row],[Counter Number]]="","",Table1[[#This Row],[Cost of New Bus:]])</f>
        <v/>
      </c>
      <c r="AO109" s="60" t="str">
        <f>IF(Table2[[#This Row],[Counter Number]]="","","NA")</f>
        <v/>
      </c>
      <c r="AP109" s="165" t="str">
        <f>IF(Table2[[#This Row],[Counter Number]]="","",Table1[[#This Row],[New Engine Model Year:]])</f>
        <v/>
      </c>
      <c r="AQ109" s="60" t="str">
        <f>IF(Table2[[#This Row],[Counter Number]]="","","NA")</f>
        <v/>
      </c>
      <c r="AR109" s="165" t="str">
        <f>IF(Table2[[#This Row],[Counter Number]]="","",Table1[[#This Row],[New Engine Horsepower (HP):]])</f>
        <v/>
      </c>
      <c r="AS109" s="60" t="str">
        <f>IF(Table2[[#This Row],[Counter Number]]="","","NA")</f>
        <v/>
      </c>
      <c r="AT109" s="165" t="str">
        <f>IF(Table2[[#This Row],[Counter Number]]="","",Table1[[#This Row],[New Engine Cylinder Displacement (L):]]&amp;" L")</f>
        <v/>
      </c>
      <c r="AU109" s="114" t="str">
        <f>IF(Table2[[#This Row],[Counter Number]]="","",Table1[[#This Row],[New Engine Number of Cylinders:]])</f>
        <v/>
      </c>
      <c r="AV109" s="60" t="str">
        <f>IF(Table2[[#This Row],[Counter Number]]="","",Table1[[#This Row],[New Engine Family Name:]])</f>
        <v/>
      </c>
      <c r="AW10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9" s="60" t="str">
        <f>IF(Table2[[#This Row],[Counter Number]]="","","NA")</f>
        <v/>
      </c>
      <c r="AY109" s="172" t="str">
        <f>IF(Table2[[#This Row],[Counter Number]]="","",IF(Table2[[#This Row],[New Engine Fuel Type:]]="ULSD",Table1[[#This Row],[Annual Miles Traveled]]/Table1[[#This Row],[New Fuel (mpg) if Diesel]],""))</f>
        <v/>
      </c>
      <c r="AZ109" s="60"/>
      <c r="BA109" s="173" t="str">
        <f>IF(Table2[[#This Row],[Counter Number]]="","",Table2[[#This Row],[Annual Miles Traveled:]]*VLOOKUP(Table2[[#This Row],[Engine Model Year:]],EFTable[],3,FALSE))</f>
        <v/>
      </c>
      <c r="BB109" s="173" t="str">
        <f>IF(Table2[[#This Row],[Counter Number]]="","",Table2[[#This Row],[Annual Miles Traveled:]]*IF(Table2[[#This Row],[New Engine Fuel Type:]]="ULSD",VLOOKUP(Table2[[#This Row],[New Engine Model Year:]],EFTable[],3,FALSE),VLOOKUP(Table2[[#This Row],[New Engine Fuel Type:]],EFTable[],3,FALSE)))</f>
        <v/>
      </c>
      <c r="BC109" s="187" t="str">
        <f>IF(Table2[[#This Row],[Counter Number]]="","",Table2[[#This Row],[Old Bus NOx Emissions (tons/yr)]]-Table2[[#This Row],[New Bus NOx Emissions (tons/yr)]])</f>
        <v/>
      </c>
      <c r="BD109" s="188" t="str">
        <f>IF(Table2[[#This Row],[Counter Number]]="","",Table2[[#This Row],[Reduction Bus NOx Emissions (tons/yr)]]/Table2[[#This Row],[Old Bus NOx Emissions (tons/yr)]])</f>
        <v/>
      </c>
      <c r="BE109" s="175" t="str">
        <f>IF(Table2[[#This Row],[Counter Number]]="","",Table2[[#This Row],[Reduction Bus NOx Emissions (tons/yr)]]*Table2[[#This Row],[Remaining Life:]])</f>
        <v/>
      </c>
      <c r="BF109" s="189" t="str">
        <f>IF(Table2[[#This Row],[Counter Number]]="","",IF(Table2[[#This Row],[Lifetime NOx Reduction (tons)]]=0,"NA",Table2[[#This Row],[Upgrade Cost Per Unit]]/Table2[[#This Row],[Lifetime NOx Reduction (tons)]]))</f>
        <v/>
      </c>
      <c r="BG109" s="190" t="str">
        <f>IF(Table2[[#This Row],[Counter Number]]="","",Table2[[#This Row],[Annual Miles Traveled:]]*VLOOKUP(Table2[[#This Row],[Engine Model Year:]],EF!$A$2:$G$27,4,FALSE))</f>
        <v/>
      </c>
      <c r="BH109" s="173" t="str">
        <f>IF(Table2[[#This Row],[Counter Number]]="","",Table2[[#This Row],[Annual Miles Traveled:]]*IF(Table2[[#This Row],[New Engine Fuel Type:]]="ULSD",VLOOKUP(Table2[[#This Row],[New Engine Model Year:]],EFTable[],4,FALSE),VLOOKUP(Table2[[#This Row],[New Engine Fuel Type:]],EFTable[],4,FALSE)))</f>
        <v/>
      </c>
      <c r="BI109" s="191" t="str">
        <f>IF(Table2[[#This Row],[Counter Number]]="","",Table2[[#This Row],[Old Bus PM2.5 Emissions (tons/yr)]]-Table2[[#This Row],[New Bus PM2.5 Emissions (tons/yr)]])</f>
        <v/>
      </c>
      <c r="BJ109" s="192" t="str">
        <f>IF(Table2[[#This Row],[Counter Number]]="","",Table2[[#This Row],[Reduction Bus PM2.5 Emissions (tons/yr)]]/Table2[[#This Row],[Old Bus PM2.5 Emissions (tons/yr)]])</f>
        <v/>
      </c>
      <c r="BK109" s="193" t="str">
        <f>IF(Table2[[#This Row],[Counter Number]]="","",Table2[[#This Row],[Reduction Bus PM2.5 Emissions (tons/yr)]]*Table2[[#This Row],[Remaining Life:]])</f>
        <v/>
      </c>
      <c r="BL109" s="194" t="str">
        <f>IF(Table2[[#This Row],[Counter Number]]="","",IF(Table2[[#This Row],[Lifetime PM2.5 Reduction (tons)]]=0,"NA",Table2[[#This Row],[Upgrade Cost Per Unit]]/Table2[[#This Row],[Lifetime PM2.5 Reduction (tons)]]))</f>
        <v/>
      </c>
      <c r="BM109" s="179" t="str">
        <f>IF(Table2[[#This Row],[Counter Number]]="","",Table2[[#This Row],[Annual Miles Traveled:]]*VLOOKUP(Table2[[#This Row],[Engine Model Year:]],EF!$A$2:$G$40,5,FALSE))</f>
        <v/>
      </c>
      <c r="BN109" s="173" t="str">
        <f>IF(Table2[[#This Row],[Counter Number]]="","",Table2[[#This Row],[Annual Miles Traveled:]]*IF(Table2[[#This Row],[New Engine Fuel Type:]]="ULSD",VLOOKUP(Table2[[#This Row],[New Engine Model Year:]],EFTable[],5,FALSE),VLOOKUP(Table2[[#This Row],[New Engine Fuel Type:]],EFTable[],5,FALSE)))</f>
        <v/>
      </c>
      <c r="BO109" s="190" t="str">
        <f>IF(Table2[[#This Row],[Counter Number]]="","",Table2[[#This Row],[Old Bus HC Emissions (tons/yr)]]-Table2[[#This Row],[New Bus HC Emissions (tons/yr)]])</f>
        <v/>
      </c>
      <c r="BP109" s="188" t="str">
        <f>IF(Table2[[#This Row],[Counter Number]]="","",Table2[[#This Row],[Reduction Bus HC Emissions (tons/yr)]]/Table2[[#This Row],[Old Bus HC Emissions (tons/yr)]])</f>
        <v/>
      </c>
      <c r="BQ109" s="193" t="str">
        <f>IF(Table2[[#This Row],[Counter Number]]="","",Table2[[#This Row],[Reduction Bus HC Emissions (tons/yr)]]*Table2[[#This Row],[Remaining Life:]])</f>
        <v/>
      </c>
      <c r="BR109" s="194" t="str">
        <f>IF(Table2[[#This Row],[Counter Number]]="","",IF(Table2[[#This Row],[Lifetime HC Reduction (tons)]]=0,"NA",Table2[[#This Row],[Upgrade Cost Per Unit]]/Table2[[#This Row],[Lifetime HC Reduction (tons)]]))</f>
        <v/>
      </c>
      <c r="BS109" s="191" t="str">
        <f>IF(Table2[[#This Row],[Counter Number]]="","",Table2[[#This Row],[Annual Miles Traveled:]]*VLOOKUP(Table2[[#This Row],[Engine Model Year:]],EF!$A$2:$G$27,6,FALSE))</f>
        <v/>
      </c>
      <c r="BT109" s="173" t="str">
        <f>IF(Table2[[#This Row],[Counter Number]]="","",Table2[[#This Row],[Annual Miles Traveled:]]*IF(Table2[[#This Row],[New Engine Fuel Type:]]="ULSD",VLOOKUP(Table2[[#This Row],[New Engine Model Year:]],EFTable[],6,FALSE),VLOOKUP(Table2[[#This Row],[New Engine Fuel Type:]],EFTable[],6,FALSE)))</f>
        <v/>
      </c>
      <c r="BU109" s="190" t="str">
        <f>IF(Table2[[#This Row],[Counter Number]]="","",Table2[[#This Row],[Old Bus CO Emissions (tons/yr)]]-Table2[[#This Row],[New Bus CO Emissions (tons/yr)]])</f>
        <v/>
      </c>
      <c r="BV109" s="188" t="str">
        <f>IF(Table2[[#This Row],[Counter Number]]="","",Table2[[#This Row],[Reduction Bus CO Emissions (tons/yr)]]/Table2[[#This Row],[Old Bus CO Emissions (tons/yr)]])</f>
        <v/>
      </c>
      <c r="BW109" s="193" t="str">
        <f>IF(Table2[[#This Row],[Counter Number]]="","",Table2[[#This Row],[Reduction Bus CO Emissions (tons/yr)]]*Table2[[#This Row],[Remaining Life:]])</f>
        <v/>
      </c>
      <c r="BX109" s="194" t="str">
        <f>IF(Table2[[#This Row],[Counter Number]]="","",IF(Table2[[#This Row],[Lifetime CO Reduction (tons)]]=0,"NA",Table2[[#This Row],[Upgrade Cost Per Unit]]/Table2[[#This Row],[Lifetime CO Reduction (tons)]]))</f>
        <v/>
      </c>
      <c r="BY109" s="180" t="str">
        <f>IF(Table2[[#This Row],[Counter Number]]="","",Table2[[#This Row],[Old ULSD Used (gal):]]*VLOOKUP(Table2[[#This Row],[Engine Model Year:]],EF!$A$2:$G$27,7,FALSE))</f>
        <v/>
      </c>
      <c r="BZ10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9" s="195" t="str">
        <f>IF(Table2[[#This Row],[Counter Number]]="","",Table2[[#This Row],[Old Bus CO2 Emissions (tons/yr)]]-Table2[[#This Row],[New Bus CO2 Emissions (tons/yr)]])</f>
        <v/>
      </c>
      <c r="CB109" s="188" t="str">
        <f>IF(Table2[[#This Row],[Counter Number]]="","",Table2[[#This Row],[Reduction Bus CO2 Emissions (tons/yr)]]/Table2[[#This Row],[Old Bus CO2 Emissions (tons/yr)]])</f>
        <v/>
      </c>
      <c r="CC109" s="195" t="str">
        <f>IF(Table2[[#This Row],[Counter Number]]="","",Table2[[#This Row],[Reduction Bus CO2 Emissions (tons/yr)]]*Table2[[#This Row],[Remaining Life:]])</f>
        <v/>
      </c>
      <c r="CD109" s="194" t="str">
        <f>IF(Table2[[#This Row],[Counter Number]]="","",IF(Table2[[#This Row],[Lifetime CO2 Reduction (tons)]]=0,"NA",Table2[[#This Row],[Upgrade Cost Per Unit]]/Table2[[#This Row],[Lifetime CO2 Reduction (tons)]]))</f>
        <v/>
      </c>
      <c r="CE109" s="182" t="str">
        <f>IF(Table2[[#This Row],[Counter Number]]="","",IF(Table2[[#This Row],[New ULSD Used (gal):]]="",Table2[[#This Row],[Old ULSD Used (gal):]],Table2[[#This Row],[Old ULSD Used (gal):]]-Table2[[#This Row],[New ULSD Used (gal):]]))</f>
        <v/>
      </c>
      <c r="CF109" s="196" t="str">
        <f>IF(Table2[[#This Row],[Counter Number]]="","",Table2[[#This Row],[Diesel Fuel Reduction (gal/yr)]]/Table2[[#This Row],[Old ULSD Used (gal):]])</f>
        <v/>
      </c>
      <c r="CG109" s="197" t="str">
        <f>IF(Table2[[#This Row],[Counter Number]]="","",Table2[[#This Row],[Diesel Fuel Reduction (gal/yr)]]*Table2[[#This Row],[Remaining Life:]])</f>
        <v/>
      </c>
    </row>
    <row r="110" spans="1:85">
      <c r="A110" s="184" t="str">
        <f>IF(A109&lt;Application!$D$24,A109+1,"")</f>
        <v/>
      </c>
      <c r="B110" s="60" t="str">
        <f>IF(Table2[[#This Row],[Counter Number]]="","",Application!$D$16)</f>
        <v/>
      </c>
      <c r="C110" s="60" t="str">
        <f>IF(Table2[[#This Row],[Counter Number]]="","",Application!$D$14)</f>
        <v/>
      </c>
      <c r="D110" s="60" t="str">
        <f>IF(Table2[[#This Row],[Counter Number]]="","",Table1[[#This Row],[Old Bus Number]])</f>
        <v/>
      </c>
      <c r="E110" s="60" t="str">
        <f>IF(Table2[[#This Row],[Counter Number]]="","",Application!$D$15)</f>
        <v/>
      </c>
      <c r="F110" s="60" t="str">
        <f>IF(Table2[[#This Row],[Counter Number]]="","","On Highway")</f>
        <v/>
      </c>
      <c r="G110" s="60" t="str">
        <f>IF(Table2[[#This Row],[Counter Number]]="","",I110)</f>
        <v/>
      </c>
      <c r="H110" s="60" t="str">
        <f>IF(Table2[[#This Row],[Counter Number]]="","","Georgia")</f>
        <v/>
      </c>
      <c r="I110" s="60" t="str">
        <f>IF(Table2[[#This Row],[Counter Number]]="","",Application!$D$16)</f>
        <v/>
      </c>
      <c r="J110" s="60" t="str">
        <f>IF(Table2[[#This Row],[Counter Number]]="","",Application!$D$21)</f>
        <v/>
      </c>
      <c r="K110" s="60" t="str">
        <f>IF(Table2[[#This Row],[Counter Number]]="","",Application!$J$21)</f>
        <v/>
      </c>
      <c r="L110" s="60" t="str">
        <f>IF(Table2[[#This Row],[Counter Number]]="","","School Bus")</f>
        <v/>
      </c>
      <c r="M110" s="60" t="str">
        <f>IF(Table2[[#This Row],[Counter Number]]="","","School Bus")</f>
        <v/>
      </c>
      <c r="N110" s="60" t="str">
        <f>IF(Table2[[#This Row],[Counter Number]]="","",1)</f>
        <v/>
      </c>
      <c r="O110" s="60" t="str">
        <f>IF(Table2[[#This Row],[Counter Number]]="","",Table1[[#This Row],[Vehicle Identification Number(s):]])</f>
        <v/>
      </c>
      <c r="P110" s="60" t="str">
        <f>IF(Table2[[#This Row],[Counter Number]]="","",Table1[[#This Row],[Old Bus Manufacturer:]])</f>
        <v/>
      </c>
      <c r="Q110" s="60" t="str">
        <f>IF(Table2[[#This Row],[Counter Number]]="","",Table1[[#This Row],[Vehicle Model:]])</f>
        <v/>
      </c>
      <c r="R110" s="165" t="str">
        <f>IF(Table2[[#This Row],[Counter Number]]="","",Table1[[#This Row],[Vehicle Model Year:]])</f>
        <v/>
      </c>
      <c r="S110" s="60" t="str">
        <f>IF(Table2[[#This Row],[Counter Number]]="","",Table1[[#This Row],[Engine Serial Number(s):]])</f>
        <v/>
      </c>
      <c r="T110" s="60" t="str">
        <f>IF(Table2[[#This Row],[Counter Number]]="","",Table1[[#This Row],[Engine Make:]])</f>
        <v/>
      </c>
      <c r="U110" s="60" t="str">
        <f>IF(Table2[[#This Row],[Counter Number]]="","",Table1[[#This Row],[Engine Model:]])</f>
        <v/>
      </c>
      <c r="V110" s="165" t="str">
        <f>IF(Table2[[#This Row],[Counter Number]]="","",Table1[[#This Row],[Engine Model Year:]])</f>
        <v/>
      </c>
      <c r="W110" s="60" t="str">
        <f>IF(Table2[[#This Row],[Counter Number]]="","","NA")</f>
        <v/>
      </c>
      <c r="X110" s="165" t="str">
        <f>IF(Table2[[#This Row],[Counter Number]]="","",Table1[[#This Row],[Engine Horsepower (HP):]])</f>
        <v/>
      </c>
      <c r="Y110" s="165" t="str">
        <f>IF(Table2[[#This Row],[Counter Number]]="","",Table1[[#This Row],[Engine Cylinder Displacement (L):]]&amp;" L")</f>
        <v/>
      </c>
      <c r="Z110" s="165" t="str">
        <f>IF(Table2[[#This Row],[Counter Number]]="","",Table1[[#This Row],[Engine Number of Cylinders:]])</f>
        <v/>
      </c>
      <c r="AA110" s="166" t="str">
        <f>IF(Table2[[#This Row],[Counter Number]]="","",Table1[[#This Row],[Engine Family Name:]])</f>
        <v/>
      </c>
      <c r="AB110" s="60" t="str">
        <f>IF(Table2[[#This Row],[Counter Number]]="","","ULSD")</f>
        <v/>
      </c>
      <c r="AC110" s="167" t="str">
        <f>IF(Table2[[#This Row],[Counter Number]]="","",Table2[[#This Row],[Annual Miles Traveled:]]/Table1[[#This Row],[Old Fuel (mpg)]])</f>
        <v/>
      </c>
      <c r="AD110" s="60" t="str">
        <f>IF(Table2[[#This Row],[Counter Number]]="","","NA")</f>
        <v/>
      </c>
      <c r="AE110" s="168" t="str">
        <f>IF(Table2[[#This Row],[Counter Number]]="","",Table1[[#This Row],[Annual Miles Traveled]])</f>
        <v/>
      </c>
      <c r="AF110" s="169" t="str">
        <f>IF(Table2[[#This Row],[Counter Number]]="","",Table1[[#This Row],[Annual Idling Hours:]])</f>
        <v/>
      </c>
      <c r="AG110" s="60" t="str">
        <f>IF(Table2[[#This Row],[Counter Number]]="","","NA")</f>
        <v/>
      </c>
      <c r="AH110" s="165" t="str">
        <f>IF(Table2[[#This Row],[Counter Number]]="","",IF(Application!$J$25="Set Policy",Table1[[#This Row],[Remaining Life (years)         Set Policy]],Table1[[#This Row],[Remaining Life (years)               Case-by-Case]]))</f>
        <v/>
      </c>
      <c r="AI110" s="165" t="str">
        <f>IF(Table2[[#This Row],[Counter Number]]="","",IF(Application!$J$25="Case-by-Case","NA",Table2[[#This Row],[Fiscal Year of EPA Funds Used:]]+Table2[[#This Row],[Remaining Life:]]))</f>
        <v/>
      </c>
      <c r="AJ110" s="165"/>
      <c r="AK110" s="170" t="str">
        <f>IF(Table2[[#This Row],[Counter Number]]="","",Application!$D$14+1)</f>
        <v/>
      </c>
      <c r="AL110" s="60" t="str">
        <f>IF(Table2[[#This Row],[Counter Number]]="","","Vehicle Replacement")</f>
        <v/>
      </c>
      <c r="AM11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0" s="171" t="str">
        <f>IF(Table2[[#This Row],[Counter Number]]="","",Table1[[#This Row],[Cost of New Bus:]])</f>
        <v/>
      </c>
      <c r="AO110" s="60" t="str">
        <f>IF(Table2[[#This Row],[Counter Number]]="","","NA")</f>
        <v/>
      </c>
      <c r="AP110" s="165" t="str">
        <f>IF(Table2[[#This Row],[Counter Number]]="","",Table1[[#This Row],[New Engine Model Year:]])</f>
        <v/>
      </c>
      <c r="AQ110" s="60" t="str">
        <f>IF(Table2[[#This Row],[Counter Number]]="","","NA")</f>
        <v/>
      </c>
      <c r="AR110" s="165" t="str">
        <f>IF(Table2[[#This Row],[Counter Number]]="","",Table1[[#This Row],[New Engine Horsepower (HP):]])</f>
        <v/>
      </c>
      <c r="AS110" s="60" t="str">
        <f>IF(Table2[[#This Row],[Counter Number]]="","","NA")</f>
        <v/>
      </c>
      <c r="AT110" s="165" t="str">
        <f>IF(Table2[[#This Row],[Counter Number]]="","",Table1[[#This Row],[New Engine Cylinder Displacement (L):]]&amp;" L")</f>
        <v/>
      </c>
      <c r="AU110" s="114" t="str">
        <f>IF(Table2[[#This Row],[Counter Number]]="","",Table1[[#This Row],[New Engine Number of Cylinders:]])</f>
        <v/>
      </c>
      <c r="AV110" s="60" t="str">
        <f>IF(Table2[[#This Row],[Counter Number]]="","",Table1[[#This Row],[New Engine Family Name:]])</f>
        <v/>
      </c>
      <c r="AW11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0" s="60" t="str">
        <f>IF(Table2[[#This Row],[Counter Number]]="","","NA")</f>
        <v/>
      </c>
      <c r="AY110" s="172" t="str">
        <f>IF(Table2[[#This Row],[Counter Number]]="","",IF(Table2[[#This Row],[New Engine Fuel Type:]]="ULSD",Table1[[#This Row],[Annual Miles Traveled]]/Table1[[#This Row],[New Fuel (mpg) if Diesel]],""))</f>
        <v/>
      </c>
      <c r="AZ110" s="60"/>
      <c r="BA110" s="173" t="str">
        <f>IF(Table2[[#This Row],[Counter Number]]="","",Table2[[#This Row],[Annual Miles Traveled:]]*VLOOKUP(Table2[[#This Row],[Engine Model Year:]],EFTable[],3,FALSE))</f>
        <v/>
      </c>
      <c r="BB110" s="173" t="str">
        <f>IF(Table2[[#This Row],[Counter Number]]="","",Table2[[#This Row],[Annual Miles Traveled:]]*IF(Table2[[#This Row],[New Engine Fuel Type:]]="ULSD",VLOOKUP(Table2[[#This Row],[New Engine Model Year:]],EFTable[],3,FALSE),VLOOKUP(Table2[[#This Row],[New Engine Fuel Type:]],EFTable[],3,FALSE)))</f>
        <v/>
      </c>
      <c r="BC110" s="187" t="str">
        <f>IF(Table2[[#This Row],[Counter Number]]="","",Table2[[#This Row],[Old Bus NOx Emissions (tons/yr)]]-Table2[[#This Row],[New Bus NOx Emissions (tons/yr)]])</f>
        <v/>
      </c>
      <c r="BD110" s="188" t="str">
        <f>IF(Table2[[#This Row],[Counter Number]]="","",Table2[[#This Row],[Reduction Bus NOx Emissions (tons/yr)]]/Table2[[#This Row],[Old Bus NOx Emissions (tons/yr)]])</f>
        <v/>
      </c>
      <c r="BE110" s="175" t="str">
        <f>IF(Table2[[#This Row],[Counter Number]]="","",Table2[[#This Row],[Reduction Bus NOx Emissions (tons/yr)]]*Table2[[#This Row],[Remaining Life:]])</f>
        <v/>
      </c>
      <c r="BF110" s="189" t="str">
        <f>IF(Table2[[#This Row],[Counter Number]]="","",IF(Table2[[#This Row],[Lifetime NOx Reduction (tons)]]=0,"NA",Table2[[#This Row],[Upgrade Cost Per Unit]]/Table2[[#This Row],[Lifetime NOx Reduction (tons)]]))</f>
        <v/>
      </c>
      <c r="BG110" s="190" t="str">
        <f>IF(Table2[[#This Row],[Counter Number]]="","",Table2[[#This Row],[Annual Miles Traveled:]]*VLOOKUP(Table2[[#This Row],[Engine Model Year:]],EF!$A$2:$G$27,4,FALSE))</f>
        <v/>
      </c>
      <c r="BH110" s="173" t="str">
        <f>IF(Table2[[#This Row],[Counter Number]]="","",Table2[[#This Row],[Annual Miles Traveled:]]*IF(Table2[[#This Row],[New Engine Fuel Type:]]="ULSD",VLOOKUP(Table2[[#This Row],[New Engine Model Year:]],EFTable[],4,FALSE),VLOOKUP(Table2[[#This Row],[New Engine Fuel Type:]],EFTable[],4,FALSE)))</f>
        <v/>
      </c>
      <c r="BI110" s="191" t="str">
        <f>IF(Table2[[#This Row],[Counter Number]]="","",Table2[[#This Row],[Old Bus PM2.5 Emissions (tons/yr)]]-Table2[[#This Row],[New Bus PM2.5 Emissions (tons/yr)]])</f>
        <v/>
      </c>
      <c r="BJ110" s="192" t="str">
        <f>IF(Table2[[#This Row],[Counter Number]]="","",Table2[[#This Row],[Reduction Bus PM2.5 Emissions (tons/yr)]]/Table2[[#This Row],[Old Bus PM2.5 Emissions (tons/yr)]])</f>
        <v/>
      </c>
      <c r="BK110" s="193" t="str">
        <f>IF(Table2[[#This Row],[Counter Number]]="","",Table2[[#This Row],[Reduction Bus PM2.5 Emissions (tons/yr)]]*Table2[[#This Row],[Remaining Life:]])</f>
        <v/>
      </c>
      <c r="BL110" s="194" t="str">
        <f>IF(Table2[[#This Row],[Counter Number]]="","",IF(Table2[[#This Row],[Lifetime PM2.5 Reduction (tons)]]=0,"NA",Table2[[#This Row],[Upgrade Cost Per Unit]]/Table2[[#This Row],[Lifetime PM2.5 Reduction (tons)]]))</f>
        <v/>
      </c>
      <c r="BM110" s="179" t="str">
        <f>IF(Table2[[#This Row],[Counter Number]]="","",Table2[[#This Row],[Annual Miles Traveled:]]*VLOOKUP(Table2[[#This Row],[Engine Model Year:]],EF!$A$2:$G$40,5,FALSE))</f>
        <v/>
      </c>
      <c r="BN110" s="173" t="str">
        <f>IF(Table2[[#This Row],[Counter Number]]="","",Table2[[#This Row],[Annual Miles Traveled:]]*IF(Table2[[#This Row],[New Engine Fuel Type:]]="ULSD",VLOOKUP(Table2[[#This Row],[New Engine Model Year:]],EFTable[],5,FALSE),VLOOKUP(Table2[[#This Row],[New Engine Fuel Type:]],EFTable[],5,FALSE)))</f>
        <v/>
      </c>
      <c r="BO110" s="190" t="str">
        <f>IF(Table2[[#This Row],[Counter Number]]="","",Table2[[#This Row],[Old Bus HC Emissions (tons/yr)]]-Table2[[#This Row],[New Bus HC Emissions (tons/yr)]])</f>
        <v/>
      </c>
      <c r="BP110" s="188" t="str">
        <f>IF(Table2[[#This Row],[Counter Number]]="","",Table2[[#This Row],[Reduction Bus HC Emissions (tons/yr)]]/Table2[[#This Row],[Old Bus HC Emissions (tons/yr)]])</f>
        <v/>
      </c>
      <c r="BQ110" s="193" t="str">
        <f>IF(Table2[[#This Row],[Counter Number]]="","",Table2[[#This Row],[Reduction Bus HC Emissions (tons/yr)]]*Table2[[#This Row],[Remaining Life:]])</f>
        <v/>
      </c>
      <c r="BR110" s="194" t="str">
        <f>IF(Table2[[#This Row],[Counter Number]]="","",IF(Table2[[#This Row],[Lifetime HC Reduction (tons)]]=0,"NA",Table2[[#This Row],[Upgrade Cost Per Unit]]/Table2[[#This Row],[Lifetime HC Reduction (tons)]]))</f>
        <v/>
      </c>
      <c r="BS110" s="191" t="str">
        <f>IF(Table2[[#This Row],[Counter Number]]="","",Table2[[#This Row],[Annual Miles Traveled:]]*VLOOKUP(Table2[[#This Row],[Engine Model Year:]],EF!$A$2:$G$27,6,FALSE))</f>
        <v/>
      </c>
      <c r="BT110" s="173" t="str">
        <f>IF(Table2[[#This Row],[Counter Number]]="","",Table2[[#This Row],[Annual Miles Traveled:]]*IF(Table2[[#This Row],[New Engine Fuel Type:]]="ULSD",VLOOKUP(Table2[[#This Row],[New Engine Model Year:]],EFTable[],6,FALSE),VLOOKUP(Table2[[#This Row],[New Engine Fuel Type:]],EFTable[],6,FALSE)))</f>
        <v/>
      </c>
      <c r="BU110" s="190" t="str">
        <f>IF(Table2[[#This Row],[Counter Number]]="","",Table2[[#This Row],[Old Bus CO Emissions (tons/yr)]]-Table2[[#This Row],[New Bus CO Emissions (tons/yr)]])</f>
        <v/>
      </c>
      <c r="BV110" s="188" t="str">
        <f>IF(Table2[[#This Row],[Counter Number]]="","",Table2[[#This Row],[Reduction Bus CO Emissions (tons/yr)]]/Table2[[#This Row],[Old Bus CO Emissions (tons/yr)]])</f>
        <v/>
      </c>
      <c r="BW110" s="193" t="str">
        <f>IF(Table2[[#This Row],[Counter Number]]="","",Table2[[#This Row],[Reduction Bus CO Emissions (tons/yr)]]*Table2[[#This Row],[Remaining Life:]])</f>
        <v/>
      </c>
      <c r="BX110" s="194" t="str">
        <f>IF(Table2[[#This Row],[Counter Number]]="","",IF(Table2[[#This Row],[Lifetime CO Reduction (tons)]]=0,"NA",Table2[[#This Row],[Upgrade Cost Per Unit]]/Table2[[#This Row],[Lifetime CO Reduction (tons)]]))</f>
        <v/>
      </c>
      <c r="BY110" s="180" t="str">
        <f>IF(Table2[[#This Row],[Counter Number]]="","",Table2[[#This Row],[Old ULSD Used (gal):]]*VLOOKUP(Table2[[#This Row],[Engine Model Year:]],EF!$A$2:$G$27,7,FALSE))</f>
        <v/>
      </c>
      <c r="BZ11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0" s="195" t="str">
        <f>IF(Table2[[#This Row],[Counter Number]]="","",Table2[[#This Row],[Old Bus CO2 Emissions (tons/yr)]]-Table2[[#This Row],[New Bus CO2 Emissions (tons/yr)]])</f>
        <v/>
      </c>
      <c r="CB110" s="188" t="str">
        <f>IF(Table2[[#This Row],[Counter Number]]="","",Table2[[#This Row],[Reduction Bus CO2 Emissions (tons/yr)]]/Table2[[#This Row],[Old Bus CO2 Emissions (tons/yr)]])</f>
        <v/>
      </c>
      <c r="CC110" s="195" t="str">
        <f>IF(Table2[[#This Row],[Counter Number]]="","",Table2[[#This Row],[Reduction Bus CO2 Emissions (tons/yr)]]*Table2[[#This Row],[Remaining Life:]])</f>
        <v/>
      </c>
      <c r="CD110" s="194" t="str">
        <f>IF(Table2[[#This Row],[Counter Number]]="","",IF(Table2[[#This Row],[Lifetime CO2 Reduction (tons)]]=0,"NA",Table2[[#This Row],[Upgrade Cost Per Unit]]/Table2[[#This Row],[Lifetime CO2 Reduction (tons)]]))</f>
        <v/>
      </c>
      <c r="CE110" s="182" t="str">
        <f>IF(Table2[[#This Row],[Counter Number]]="","",IF(Table2[[#This Row],[New ULSD Used (gal):]]="",Table2[[#This Row],[Old ULSD Used (gal):]],Table2[[#This Row],[Old ULSD Used (gal):]]-Table2[[#This Row],[New ULSD Used (gal):]]))</f>
        <v/>
      </c>
      <c r="CF110" s="196" t="str">
        <f>IF(Table2[[#This Row],[Counter Number]]="","",Table2[[#This Row],[Diesel Fuel Reduction (gal/yr)]]/Table2[[#This Row],[Old ULSD Used (gal):]])</f>
        <v/>
      </c>
      <c r="CG110" s="197" t="str">
        <f>IF(Table2[[#This Row],[Counter Number]]="","",Table2[[#This Row],[Diesel Fuel Reduction (gal/yr)]]*Table2[[#This Row],[Remaining Life:]])</f>
        <v/>
      </c>
    </row>
    <row r="111" spans="1:85">
      <c r="A111" s="184" t="str">
        <f>IF(A110&lt;Application!$D$24,A110+1,"")</f>
        <v/>
      </c>
      <c r="B111" s="60" t="str">
        <f>IF(Table2[[#This Row],[Counter Number]]="","",Application!$D$16)</f>
        <v/>
      </c>
      <c r="C111" s="60" t="str">
        <f>IF(Table2[[#This Row],[Counter Number]]="","",Application!$D$14)</f>
        <v/>
      </c>
      <c r="D111" s="60" t="str">
        <f>IF(Table2[[#This Row],[Counter Number]]="","",Table1[[#This Row],[Old Bus Number]])</f>
        <v/>
      </c>
      <c r="E111" s="60" t="str">
        <f>IF(Table2[[#This Row],[Counter Number]]="","",Application!$D$15)</f>
        <v/>
      </c>
      <c r="F111" s="60" t="str">
        <f>IF(Table2[[#This Row],[Counter Number]]="","","On Highway")</f>
        <v/>
      </c>
      <c r="G111" s="60" t="str">
        <f>IF(Table2[[#This Row],[Counter Number]]="","",I111)</f>
        <v/>
      </c>
      <c r="H111" s="60" t="str">
        <f>IF(Table2[[#This Row],[Counter Number]]="","","Georgia")</f>
        <v/>
      </c>
      <c r="I111" s="60" t="str">
        <f>IF(Table2[[#This Row],[Counter Number]]="","",Application!$D$16)</f>
        <v/>
      </c>
      <c r="J111" s="60" t="str">
        <f>IF(Table2[[#This Row],[Counter Number]]="","",Application!$D$21)</f>
        <v/>
      </c>
      <c r="K111" s="60" t="str">
        <f>IF(Table2[[#This Row],[Counter Number]]="","",Application!$J$21)</f>
        <v/>
      </c>
      <c r="L111" s="60" t="str">
        <f>IF(Table2[[#This Row],[Counter Number]]="","","School Bus")</f>
        <v/>
      </c>
      <c r="M111" s="60" t="str">
        <f>IF(Table2[[#This Row],[Counter Number]]="","","School Bus")</f>
        <v/>
      </c>
      <c r="N111" s="60" t="str">
        <f>IF(Table2[[#This Row],[Counter Number]]="","",1)</f>
        <v/>
      </c>
      <c r="O111" s="60" t="str">
        <f>IF(Table2[[#This Row],[Counter Number]]="","",Table1[[#This Row],[Vehicle Identification Number(s):]])</f>
        <v/>
      </c>
      <c r="P111" s="60" t="str">
        <f>IF(Table2[[#This Row],[Counter Number]]="","",Table1[[#This Row],[Old Bus Manufacturer:]])</f>
        <v/>
      </c>
      <c r="Q111" s="60" t="str">
        <f>IF(Table2[[#This Row],[Counter Number]]="","",Table1[[#This Row],[Vehicle Model:]])</f>
        <v/>
      </c>
      <c r="R111" s="165" t="str">
        <f>IF(Table2[[#This Row],[Counter Number]]="","",Table1[[#This Row],[Vehicle Model Year:]])</f>
        <v/>
      </c>
      <c r="S111" s="60" t="str">
        <f>IF(Table2[[#This Row],[Counter Number]]="","",Table1[[#This Row],[Engine Serial Number(s):]])</f>
        <v/>
      </c>
      <c r="T111" s="60" t="str">
        <f>IF(Table2[[#This Row],[Counter Number]]="","",Table1[[#This Row],[Engine Make:]])</f>
        <v/>
      </c>
      <c r="U111" s="60" t="str">
        <f>IF(Table2[[#This Row],[Counter Number]]="","",Table1[[#This Row],[Engine Model:]])</f>
        <v/>
      </c>
      <c r="V111" s="165" t="str">
        <f>IF(Table2[[#This Row],[Counter Number]]="","",Table1[[#This Row],[Engine Model Year:]])</f>
        <v/>
      </c>
      <c r="W111" s="60" t="str">
        <f>IF(Table2[[#This Row],[Counter Number]]="","","NA")</f>
        <v/>
      </c>
      <c r="X111" s="165" t="str">
        <f>IF(Table2[[#This Row],[Counter Number]]="","",Table1[[#This Row],[Engine Horsepower (HP):]])</f>
        <v/>
      </c>
      <c r="Y111" s="165" t="str">
        <f>IF(Table2[[#This Row],[Counter Number]]="","",Table1[[#This Row],[Engine Cylinder Displacement (L):]]&amp;" L")</f>
        <v/>
      </c>
      <c r="Z111" s="165" t="str">
        <f>IF(Table2[[#This Row],[Counter Number]]="","",Table1[[#This Row],[Engine Number of Cylinders:]])</f>
        <v/>
      </c>
      <c r="AA111" s="166" t="str">
        <f>IF(Table2[[#This Row],[Counter Number]]="","",Table1[[#This Row],[Engine Family Name:]])</f>
        <v/>
      </c>
      <c r="AB111" s="60" t="str">
        <f>IF(Table2[[#This Row],[Counter Number]]="","","ULSD")</f>
        <v/>
      </c>
      <c r="AC111" s="167" t="str">
        <f>IF(Table2[[#This Row],[Counter Number]]="","",Table2[[#This Row],[Annual Miles Traveled:]]/Table1[[#This Row],[Old Fuel (mpg)]])</f>
        <v/>
      </c>
      <c r="AD111" s="60" t="str">
        <f>IF(Table2[[#This Row],[Counter Number]]="","","NA")</f>
        <v/>
      </c>
      <c r="AE111" s="168" t="str">
        <f>IF(Table2[[#This Row],[Counter Number]]="","",Table1[[#This Row],[Annual Miles Traveled]])</f>
        <v/>
      </c>
      <c r="AF111" s="169" t="str">
        <f>IF(Table2[[#This Row],[Counter Number]]="","",Table1[[#This Row],[Annual Idling Hours:]])</f>
        <v/>
      </c>
      <c r="AG111" s="60" t="str">
        <f>IF(Table2[[#This Row],[Counter Number]]="","","NA")</f>
        <v/>
      </c>
      <c r="AH111" s="165" t="str">
        <f>IF(Table2[[#This Row],[Counter Number]]="","",IF(Application!$J$25="Set Policy",Table1[[#This Row],[Remaining Life (years)         Set Policy]],Table1[[#This Row],[Remaining Life (years)               Case-by-Case]]))</f>
        <v/>
      </c>
      <c r="AI111" s="165" t="str">
        <f>IF(Table2[[#This Row],[Counter Number]]="","",IF(Application!$J$25="Case-by-Case","NA",Table2[[#This Row],[Fiscal Year of EPA Funds Used:]]+Table2[[#This Row],[Remaining Life:]]))</f>
        <v/>
      </c>
      <c r="AJ111" s="165"/>
      <c r="AK111" s="170" t="str">
        <f>IF(Table2[[#This Row],[Counter Number]]="","",Application!$D$14+1)</f>
        <v/>
      </c>
      <c r="AL111" s="60" t="str">
        <f>IF(Table2[[#This Row],[Counter Number]]="","","Vehicle Replacement")</f>
        <v/>
      </c>
      <c r="AM11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1" s="171" t="str">
        <f>IF(Table2[[#This Row],[Counter Number]]="","",Table1[[#This Row],[Cost of New Bus:]])</f>
        <v/>
      </c>
      <c r="AO111" s="60" t="str">
        <f>IF(Table2[[#This Row],[Counter Number]]="","","NA")</f>
        <v/>
      </c>
      <c r="AP111" s="165" t="str">
        <f>IF(Table2[[#This Row],[Counter Number]]="","",Table1[[#This Row],[New Engine Model Year:]])</f>
        <v/>
      </c>
      <c r="AQ111" s="60" t="str">
        <f>IF(Table2[[#This Row],[Counter Number]]="","","NA")</f>
        <v/>
      </c>
      <c r="AR111" s="165" t="str">
        <f>IF(Table2[[#This Row],[Counter Number]]="","",Table1[[#This Row],[New Engine Horsepower (HP):]])</f>
        <v/>
      </c>
      <c r="AS111" s="60" t="str">
        <f>IF(Table2[[#This Row],[Counter Number]]="","","NA")</f>
        <v/>
      </c>
      <c r="AT111" s="165" t="str">
        <f>IF(Table2[[#This Row],[Counter Number]]="","",Table1[[#This Row],[New Engine Cylinder Displacement (L):]]&amp;" L")</f>
        <v/>
      </c>
      <c r="AU111" s="114" t="str">
        <f>IF(Table2[[#This Row],[Counter Number]]="","",Table1[[#This Row],[New Engine Number of Cylinders:]])</f>
        <v/>
      </c>
      <c r="AV111" s="60" t="str">
        <f>IF(Table2[[#This Row],[Counter Number]]="","",Table1[[#This Row],[New Engine Family Name:]])</f>
        <v/>
      </c>
      <c r="AW11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1" s="60" t="str">
        <f>IF(Table2[[#This Row],[Counter Number]]="","","NA")</f>
        <v/>
      </c>
      <c r="AY111" s="172" t="str">
        <f>IF(Table2[[#This Row],[Counter Number]]="","",IF(Table2[[#This Row],[New Engine Fuel Type:]]="ULSD",Table1[[#This Row],[Annual Miles Traveled]]/Table1[[#This Row],[New Fuel (mpg) if Diesel]],""))</f>
        <v/>
      </c>
      <c r="AZ111" s="60"/>
      <c r="BA111" s="173" t="str">
        <f>IF(Table2[[#This Row],[Counter Number]]="","",Table2[[#This Row],[Annual Miles Traveled:]]*VLOOKUP(Table2[[#This Row],[Engine Model Year:]],EFTable[],3,FALSE))</f>
        <v/>
      </c>
      <c r="BB111" s="173" t="str">
        <f>IF(Table2[[#This Row],[Counter Number]]="","",Table2[[#This Row],[Annual Miles Traveled:]]*IF(Table2[[#This Row],[New Engine Fuel Type:]]="ULSD",VLOOKUP(Table2[[#This Row],[New Engine Model Year:]],EFTable[],3,FALSE),VLOOKUP(Table2[[#This Row],[New Engine Fuel Type:]],EFTable[],3,FALSE)))</f>
        <v/>
      </c>
      <c r="BC111" s="187" t="str">
        <f>IF(Table2[[#This Row],[Counter Number]]="","",Table2[[#This Row],[Old Bus NOx Emissions (tons/yr)]]-Table2[[#This Row],[New Bus NOx Emissions (tons/yr)]])</f>
        <v/>
      </c>
      <c r="BD111" s="188" t="str">
        <f>IF(Table2[[#This Row],[Counter Number]]="","",Table2[[#This Row],[Reduction Bus NOx Emissions (tons/yr)]]/Table2[[#This Row],[Old Bus NOx Emissions (tons/yr)]])</f>
        <v/>
      </c>
      <c r="BE111" s="175" t="str">
        <f>IF(Table2[[#This Row],[Counter Number]]="","",Table2[[#This Row],[Reduction Bus NOx Emissions (tons/yr)]]*Table2[[#This Row],[Remaining Life:]])</f>
        <v/>
      </c>
      <c r="BF111" s="189" t="str">
        <f>IF(Table2[[#This Row],[Counter Number]]="","",IF(Table2[[#This Row],[Lifetime NOx Reduction (tons)]]=0,"NA",Table2[[#This Row],[Upgrade Cost Per Unit]]/Table2[[#This Row],[Lifetime NOx Reduction (tons)]]))</f>
        <v/>
      </c>
      <c r="BG111" s="190" t="str">
        <f>IF(Table2[[#This Row],[Counter Number]]="","",Table2[[#This Row],[Annual Miles Traveled:]]*VLOOKUP(Table2[[#This Row],[Engine Model Year:]],EF!$A$2:$G$27,4,FALSE))</f>
        <v/>
      </c>
      <c r="BH111" s="173" t="str">
        <f>IF(Table2[[#This Row],[Counter Number]]="","",Table2[[#This Row],[Annual Miles Traveled:]]*IF(Table2[[#This Row],[New Engine Fuel Type:]]="ULSD",VLOOKUP(Table2[[#This Row],[New Engine Model Year:]],EFTable[],4,FALSE),VLOOKUP(Table2[[#This Row],[New Engine Fuel Type:]],EFTable[],4,FALSE)))</f>
        <v/>
      </c>
      <c r="BI111" s="191" t="str">
        <f>IF(Table2[[#This Row],[Counter Number]]="","",Table2[[#This Row],[Old Bus PM2.5 Emissions (tons/yr)]]-Table2[[#This Row],[New Bus PM2.5 Emissions (tons/yr)]])</f>
        <v/>
      </c>
      <c r="BJ111" s="192" t="str">
        <f>IF(Table2[[#This Row],[Counter Number]]="","",Table2[[#This Row],[Reduction Bus PM2.5 Emissions (tons/yr)]]/Table2[[#This Row],[Old Bus PM2.5 Emissions (tons/yr)]])</f>
        <v/>
      </c>
      <c r="BK111" s="193" t="str">
        <f>IF(Table2[[#This Row],[Counter Number]]="","",Table2[[#This Row],[Reduction Bus PM2.5 Emissions (tons/yr)]]*Table2[[#This Row],[Remaining Life:]])</f>
        <v/>
      </c>
      <c r="BL111" s="194" t="str">
        <f>IF(Table2[[#This Row],[Counter Number]]="","",IF(Table2[[#This Row],[Lifetime PM2.5 Reduction (tons)]]=0,"NA",Table2[[#This Row],[Upgrade Cost Per Unit]]/Table2[[#This Row],[Lifetime PM2.5 Reduction (tons)]]))</f>
        <v/>
      </c>
      <c r="BM111" s="179" t="str">
        <f>IF(Table2[[#This Row],[Counter Number]]="","",Table2[[#This Row],[Annual Miles Traveled:]]*VLOOKUP(Table2[[#This Row],[Engine Model Year:]],EF!$A$2:$G$40,5,FALSE))</f>
        <v/>
      </c>
      <c r="BN111" s="173" t="str">
        <f>IF(Table2[[#This Row],[Counter Number]]="","",Table2[[#This Row],[Annual Miles Traveled:]]*IF(Table2[[#This Row],[New Engine Fuel Type:]]="ULSD",VLOOKUP(Table2[[#This Row],[New Engine Model Year:]],EFTable[],5,FALSE),VLOOKUP(Table2[[#This Row],[New Engine Fuel Type:]],EFTable[],5,FALSE)))</f>
        <v/>
      </c>
      <c r="BO111" s="190" t="str">
        <f>IF(Table2[[#This Row],[Counter Number]]="","",Table2[[#This Row],[Old Bus HC Emissions (tons/yr)]]-Table2[[#This Row],[New Bus HC Emissions (tons/yr)]])</f>
        <v/>
      </c>
      <c r="BP111" s="188" t="str">
        <f>IF(Table2[[#This Row],[Counter Number]]="","",Table2[[#This Row],[Reduction Bus HC Emissions (tons/yr)]]/Table2[[#This Row],[Old Bus HC Emissions (tons/yr)]])</f>
        <v/>
      </c>
      <c r="BQ111" s="193" t="str">
        <f>IF(Table2[[#This Row],[Counter Number]]="","",Table2[[#This Row],[Reduction Bus HC Emissions (tons/yr)]]*Table2[[#This Row],[Remaining Life:]])</f>
        <v/>
      </c>
      <c r="BR111" s="194" t="str">
        <f>IF(Table2[[#This Row],[Counter Number]]="","",IF(Table2[[#This Row],[Lifetime HC Reduction (tons)]]=0,"NA",Table2[[#This Row],[Upgrade Cost Per Unit]]/Table2[[#This Row],[Lifetime HC Reduction (tons)]]))</f>
        <v/>
      </c>
      <c r="BS111" s="191" t="str">
        <f>IF(Table2[[#This Row],[Counter Number]]="","",Table2[[#This Row],[Annual Miles Traveled:]]*VLOOKUP(Table2[[#This Row],[Engine Model Year:]],EF!$A$2:$G$27,6,FALSE))</f>
        <v/>
      </c>
      <c r="BT111" s="173" t="str">
        <f>IF(Table2[[#This Row],[Counter Number]]="","",Table2[[#This Row],[Annual Miles Traveled:]]*IF(Table2[[#This Row],[New Engine Fuel Type:]]="ULSD",VLOOKUP(Table2[[#This Row],[New Engine Model Year:]],EFTable[],6,FALSE),VLOOKUP(Table2[[#This Row],[New Engine Fuel Type:]],EFTable[],6,FALSE)))</f>
        <v/>
      </c>
      <c r="BU111" s="190" t="str">
        <f>IF(Table2[[#This Row],[Counter Number]]="","",Table2[[#This Row],[Old Bus CO Emissions (tons/yr)]]-Table2[[#This Row],[New Bus CO Emissions (tons/yr)]])</f>
        <v/>
      </c>
      <c r="BV111" s="188" t="str">
        <f>IF(Table2[[#This Row],[Counter Number]]="","",Table2[[#This Row],[Reduction Bus CO Emissions (tons/yr)]]/Table2[[#This Row],[Old Bus CO Emissions (tons/yr)]])</f>
        <v/>
      </c>
      <c r="BW111" s="193" t="str">
        <f>IF(Table2[[#This Row],[Counter Number]]="","",Table2[[#This Row],[Reduction Bus CO Emissions (tons/yr)]]*Table2[[#This Row],[Remaining Life:]])</f>
        <v/>
      </c>
      <c r="BX111" s="194" t="str">
        <f>IF(Table2[[#This Row],[Counter Number]]="","",IF(Table2[[#This Row],[Lifetime CO Reduction (tons)]]=0,"NA",Table2[[#This Row],[Upgrade Cost Per Unit]]/Table2[[#This Row],[Lifetime CO Reduction (tons)]]))</f>
        <v/>
      </c>
      <c r="BY111" s="180" t="str">
        <f>IF(Table2[[#This Row],[Counter Number]]="","",Table2[[#This Row],[Old ULSD Used (gal):]]*VLOOKUP(Table2[[#This Row],[Engine Model Year:]],EF!$A$2:$G$27,7,FALSE))</f>
        <v/>
      </c>
      <c r="BZ11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1" s="195" t="str">
        <f>IF(Table2[[#This Row],[Counter Number]]="","",Table2[[#This Row],[Old Bus CO2 Emissions (tons/yr)]]-Table2[[#This Row],[New Bus CO2 Emissions (tons/yr)]])</f>
        <v/>
      </c>
      <c r="CB111" s="188" t="str">
        <f>IF(Table2[[#This Row],[Counter Number]]="","",Table2[[#This Row],[Reduction Bus CO2 Emissions (tons/yr)]]/Table2[[#This Row],[Old Bus CO2 Emissions (tons/yr)]])</f>
        <v/>
      </c>
      <c r="CC111" s="195" t="str">
        <f>IF(Table2[[#This Row],[Counter Number]]="","",Table2[[#This Row],[Reduction Bus CO2 Emissions (tons/yr)]]*Table2[[#This Row],[Remaining Life:]])</f>
        <v/>
      </c>
      <c r="CD111" s="194" t="str">
        <f>IF(Table2[[#This Row],[Counter Number]]="","",IF(Table2[[#This Row],[Lifetime CO2 Reduction (tons)]]=0,"NA",Table2[[#This Row],[Upgrade Cost Per Unit]]/Table2[[#This Row],[Lifetime CO2 Reduction (tons)]]))</f>
        <v/>
      </c>
      <c r="CE111" s="182" t="str">
        <f>IF(Table2[[#This Row],[Counter Number]]="","",IF(Table2[[#This Row],[New ULSD Used (gal):]]="",Table2[[#This Row],[Old ULSD Used (gal):]],Table2[[#This Row],[Old ULSD Used (gal):]]-Table2[[#This Row],[New ULSD Used (gal):]]))</f>
        <v/>
      </c>
      <c r="CF111" s="196" t="str">
        <f>IF(Table2[[#This Row],[Counter Number]]="","",Table2[[#This Row],[Diesel Fuel Reduction (gal/yr)]]/Table2[[#This Row],[Old ULSD Used (gal):]])</f>
        <v/>
      </c>
      <c r="CG111" s="197" t="str">
        <f>IF(Table2[[#This Row],[Counter Number]]="","",Table2[[#This Row],[Diesel Fuel Reduction (gal/yr)]]*Table2[[#This Row],[Remaining Life:]])</f>
        <v/>
      </c>
    </row>
    <row r="112" spans="1:85">
      <c r="A112" s="184" t="str">
        <f>IF(A111&lt;Application!$D$24,A111+1,"")</f>
        <v/>
      </c>
      <c r="B112" s="60" t="str">
        <f>IF(Table2[[#This Row],[Counter Number]]="","",Application!$D$16)</f>
        <v/>
      </c>
      <c r="C112" s="60" t="str">
        <f>IF(Table2[[#This Row],[Counter Number]]="","",Application!$D$14)</f>
        <v/>
      </c>
      <c r="D112" s="60" t="str">
        <f>IF(Table2[[#This Row],[Counter Number]]="","",Table1[[#This Row],[Old Bus Number]])</f>
        <v/>
      </c>
      <c r="E112" s="60" t="str">
        <f>IF(Table2[[#This Row],[Counter Number]]="","",Application!$D$15)</f>
        <v/>
      </c>
      <c r="F112" s="60" t="str">
        <f>IF(Table2[[#This Row],[Counter Number]]="","","On Highway")</f>
        <v/>
      </c>
      <c r="G112" s="60" t="str">
        <f>IF(Table2[[#This Row],[Counter Number]]="","",I112)</f>
        <v/>
      </c>
      <c r="H112" s="60" t="str">
        <f>IF(Table2[[#This Row],[Counter Number]]="","","Georgia")</f>
        <v/>
      </c>
      <c r="I112" s="60" t="str">
        <f>IF(Table2[[#This Row],[Counter Number]]="","",Application!$D$16)</f>
        <v/>
      </c>
      <c r="J112" s="60" t="str">
        <f>IF(Table2[[#This Row],[Counter Number]]="","",Application!$D$21)</f>
        <v/>
      </c>
      <c r="K112" s="60" t="str">
        <f>IF(Table2[[#This Row],[Counter Number]]="","",Application!$J$21)</f>
        <v/>
      </c>
      <c r="L112" s="60" t="str">
        <f>IF(Table2[[#This Row],[Counter Number]]="","","School Bus")</f>
        <v/>
      </c>
      <c r="M112" s="60" t="str">
        <f>IF(Table2[[#This Row],[Counter Number]]="","","School Bus")</f>
        <v/>
      </c>
      <c r="N112" s="60" t="str">
        <f>IF(Table2[[#This Row],[Counter Number]]="","",1)</f>
        <v/>
      </c>
      <c r="O112" s="60" t="str">
        <f>IF(Table2[[#This Row],[Counter Number]]="","",Table1[[#This Row],[Vehicle Identification Number(s):]])</f>
        <v/>
      </c>
      <c r="P112" s="60" t="str">
        <f>IF(Table2[[#This Row],[Counter Number]]="","",Table1[[#This Row],[Old Bus Manufacturer:]])</f>
        <v/>
      </c>
      <c r="Q112" s="60" t="str">
        <f>IF(Table2[[#This Row],[Counter Number]]="","",Table1[[#This Row],[Vehicle Model:]])</f>
        <v/>
      </c>
      <c r="R112" s="165" t="str">
        <f>IF(Table2[[#This Row],[Counter Number]]="","",Table1[[#This Row],[Vehicle Model Year:]])</f>
        <v/>
      </c>
      <c r="S112" s="60" t="str">
        <f>IF(Table2[[#This Row],[Counter Number]]="","",Table1[[#This Row],[Engine Serial Number(s):]])</f>
        <v/>
      </c>
      <c r="T112" s="60" t="str">
        <f>IF(Table2[[#This Row],[Counter Number]]="","",Table1[[#This Row],[Engine Make:]])</f>
        <v/>
      </c>
      <c r="U112" s="60" t="str">
        <f>IF(Table2[[#This Row],[Counter Number]]="","",Table1[[#This Row],[Engine Model:]])</f>
        <v/>
      </c>
      <c r="V112" s="165" t="str">
        <f>IF(Table2[[#This Row],[Counter Number]]="","",Table1[[#This Row],[Engine Model Year:]])</f>
        <v/>
      </c>
      <c r="W112" s="60" t="str">
        <f>IF(Table2[[#This Row],[Counter Number]]="","","NA")</f>
        <v/>
      </c>
      <c r="X112" s="165" t="str">
        <f>IF(Table2[[#This Row],[Counter Number]]="","",Table1[[#This Row],[Engine Horsepower (HP):]])</f>
        <v/>
      </c>
      <c r="Y112" s="165" t="str">
        <f>IF(Table2[[#This Row],[Counter Number]]="","",Table1[[#This Row],[Engine Cylinder Displacement (L):]]&amp;" L")</f>
        <v/>
      </c>
      <c r="Z112" s="165" t="str">
        <f>IF(Table2[[#This Row],[Counter Number]]="","",Table1[[#This Row],[Engine Number of Cylinders:]])</f>
        <v/>
      </c>
      <c r="AA112" s="166" t="str">
        <f>IF(Table2[[#This Row],[Counter Number]]="","",Table1[[#This Row],[Engine Family Name:]])</f>
        <v/>
      </c>
      <c r="AB112" s="60" t="str">
        <f>IF(Table2[[#This Row],[Counter Number]]="","","ULSD")</f>
        <v/>
      </c>
      <c r="AC112" s="167" t="str">
        <f>IF(Table2[[#This Row],[Counter Number]]="","",Table2[[#This Row],[Annual Miles Traveled:]]/Table1[[#This Row],[Old Fuel (mpg)]])</f>
        <v/>
      </c>
      <c r="AD112" s="60" t="str">
        <f>IF(Table2[[#This Row],[Counter Number]]="","","NA")</f>
        <v/>
      </c>
      <c r="AE112" s="168" t="str">
        <f>IF(Table2[[#This Row],[Counter Number]]="","",Table1[[#This Row],[Annual Miles Traveled]])</f>
        <v/>
      </c>
      <c r="AF112" s="169" t="str">
        <f>IF(Table2[[#This Row],[Counter Number]]="","",Table1[[#This Row],[Annual Idling Hours:]])</f>
        <v/>
      </c>
      <c r="AG112" s="60" t="str">
        <f>IF(Table2[[#This Row],[Counter Number]]="","","NA")</f>
        <v/>
      </c>
      <c r="AH112" s="165" t="str">
        <f>IF(Table2[[#This Row],[Counter Number]]="","",IF(Application!$J$25="Set Policy",Table1[[#This Row],[Remaining Life (years)         Set Policy]],Table1[[#This Row],[Remaining Life (years)               Case-by-Case]]))</f>
        <v/>
      </c>
      <c r="AI112" s="165" t="str">
        <f>IF(Table2[[#This Row],[Counter Number]]="","",IF(Application!$J$25="Case-by-Case","NA",Table2[[#This Row],[Fiscal Year of EPA Funds Used:]]+Table2[[#This Row],[Remaining Life:]]))</f>
        <v/>
      </c>
      <c r="AJ112" s="165"/>
      <c r="AK112" s="170" t="str">
        <f>IF(Table2[[#This Row],[Counter Number]]="","",Application!$D$14+1)</f>
        <v/>
      </c>
      <c r="AL112" s="60" t="str">
        <f>IF(Table2[[#This Row],[Counter Number]]="","","Vehicle Replacement")</f>
        <v/>
      </c>
      <c r="AM11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2" s="171" t="str">
        <f>IF(Table2[[#This Row],[Counter Number]]="","",Table1[[#This Row],[Cost of New Bus:]])</f>
        <v/>
      </c>
      <c r="AO112" s="60" t="str">
        <f>IF(Table2[[#This Row],[Counter Number]]="","","NA")</f>
        <v/>
      </c>
      <c r="AP112" s="165" t="str">
        <f>IF(Table2[[#This Row],[Counter Number]]="","",Table1[[#This Row],[New Engine Model Year:]])</f>
        <v/>
      </c>
      <c r="AQ112" s="60" t="str">
        <f>IF(Table2[[#This Row],[Counter Number]]="","","NA")</f>
        <v/>
      </c>
      <c r="AR112" s="165" t="str">
        <f>IF(Table2[[#This Row],[Counter Number]]="","",Table1[[#This Row],[New Engine Horsepower (HP):]])</f>
        <v/>
      </c>
      <c r="AS112" s="60" t="str">
        <f>IF(Table2[[#This Row],[Counter Number]]="","","NA")</f>
        <v/>
      </c>
      <c r="AT112" s="165" t="str">
        <f>IF(Table2[[#This Row],[Counter Number]]="","",Table1[[#This Row],[New Engine Cylinder Displacement (L):]]&amp;" L")</f>
        <v/>
      </c>
      <c r="AU112" s="114" t="str">
        <f>IF(Table2[[#This Row],[Counter Number]]="","",Table1[[#This Row],[New Engine Number of Cylinders:]])</f>
        <v/>
      </c>
      <c r="AV112" s="60" t="str">
        <f>IF(Table2[[#This Row],[Counter Number]]="","",Table1[[#This Row],[New Engine Family Name:]])</f>
        <v/>
      </c>
      <c r="AW11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2" s="60" t="str">
        <f>IF(Table2[[#This Row],[Counter Number]]="","","NA")</f>
        <v/>
      </c>
      <c r="AY112" s="172" t="str">
        <f>IF(Table2[[#This Row],[Counter Number]]="","",IF(Table2[[#This Row],[New Engine Fuel Type:]]="ULSD",Table1[[#This Row],[Annual Miles Traveled]]/Table1[[#This Row],[New Fuel (mpg) if Diesel]],""))</f>
        <v/>
      </c>
      <c r="AZ112" s="60"/>
      <c r="BA112" s="173" t="str">
        <f>IF(Table2[[#This Row],[Counter Number]]="","",Table2[[#This Row],[Annual Miles Traveled:]]*VLOOKUP(Table2[[#This Row],[Engine Model Year:]],EFTable[],3,FALSE))</f>
        <v/>
      </c>
      <c r="BB112" s="173" t="str">
        <f>IF(Table2[[#This Row],[Counter Number]]="","",Table2[[#This Row],[Annual Miles Traveled:]]*IF(Table2[[#This Row],[New Engine Fuel Type:]]="ULSD",VLOOKUP(Table2[[#This Row],[New Engine Model Year:]],EFTable[],3,FALSE),VLOOKUP(Table2[[#This Row],[New Engine Fuel Type:]],EFTable[],3,FALSE)))</f>
        <v/>
      </c>
      <c r="BC112" s="187" t="str">
        <f>IF(Table2[[#This Row],[Counter Number]]="","",Table2[[#This Row],[Old Bus NOx Emissions (tons/yr)]]-Table2[[#This Row],[New Bus NOx Emissions (tons/yr)]])</f>
        <v/>
      </c>
      <c r="BD112" s="188" t="str">
        <f>IF(Table2[[#This Row],[Counter Number]]="","",Table2[[#This Row],[Reduction Bus NOx Emissions (tons/yr)]]/Table2[[#This Row],[Old Bus NOx Emissions (tons/yr)]])</f>
        <v/>
      </c>
      <c r="BE112" s="175" t="str">
        <f>IF(Table2[[#This Row],[Counter Number]]="","",Table2[[#This Row],[Reduction Bus NOx Emissions (tons/yr)]]*Table2[[#This Row],[Remaining Life:]])</f>
        <v/>
      </c>
      <c r="BF112" s="189" t="str">
        <f>IF(Table2[[#This Row],[Counter Number]]="","",IF(Table2[[#This Row],[Lifetime NOx Reduction (tons)]]=0,"NA",Table2[[#This Row],[Upgrade Cost Per Unit]]/Table2[[#This Row],[Lifetime NOx Reduction (tons)]]))</f>
        <v/>
      </c>
      <c r="BG112" s="190" t="str">
        <f>IF(Table2[[#This Row],[Counter Number]]="","",Table2[[#This Row],[Annual Miles Traveled:]]*VLOOKUP(Table2[[#This Row],[Engine Model Year:]],EF!$A$2:$G$27,4,FALSE))</f>
        <v/>
      </c>
      <c r="BH112" s="173" t="str">
        <f>IF(Table2[[#This Row],[Counter Number]]="","",Table2[[#This Row],[Annual Miles Traveled:]]*IF(Table2[[#This Row],[New Engine Fuel Type:]]="ULSD",VLOOKUP(Table2[[#This Row],[New Engine Model Year:]],EFTable[],4,FALSE),VLOOKUP(Table2[[#This Row],[New Engine Fuel Type:]],EFTable[],4,FALSE)))</f>
        <v/>
      </c>
      <c r="BI112" s="191" t="str">
        <f>IF(Table2[[#This Row],[Counter Number]]="","",Table2[[#This Row],[Old Bus PM2.5 Emissions (tons/yr)]]-Table2[[#This Row],[New Bus PM2.5 Emissions (tons/yr)]])</f>
        <v/>
      </c>
      <c r="BJ112" s="192" t="str">
        <f>IF(Table2[[#This Row],[Counter Number]]="","",Table2[[#This Row],[Reduction Bus PM2.5 Emissions (tons/yr)]]/Table2[[#This Row],[Old Bus PM2.5 Emissions (tons/yr)]])</f>
        <v/>
      </c>
      <c r="BK112" s="193" t="str">
        <f>IF(Table2[[#This Row],[Counter Number]]="","",Table2[[#This Row],[Reduction Bus PM2.5 Emissions (tons/yr)]]*Table2[[#This Row],[Remaining Life:]])</f>
        <v/>
      </c>
      <c r="BL112" s="194" t="str">
        <f>IF(Table2[[#This Row],[Counter Number]]="","",IF(Table2[[#This Row],[Lifetime PM2.5 Reduction (tons)]]=0,"NA",Table2[[#This Row],[Upgrade Cost Per Unit]]/Table2[[#This Row],[Lifetime PM2.5 Reduction (tons)]]))</f>
        <v/>
      </c>
      <c r="BM112" s="179" t="str">
        <f>IF(Table2[[#This Row],[Counter Number]]="","",Table2[[#This Row],[Annual Miles Traveled:]]*VLOOKUP(Table2[[#This Row],[Engine Model Year:]],EF!$A$2:$G$40,5,FALSE))</f>
        <v/>
      </c>
      <c r="BN112" s="173" t="str">
        <f>IF(Table2[[#This Row],[Counter Number]]="","",Table2[[#This Row],[Annual Miles Traveled:]]*IF(Table2[[#This Row],[New Engine Fuel Type:]]="ULSD",VLOOKUP(Table2[[#This Row],[New Engine Model Year:]],EFTable[],5,FALSE),VLOOKUP(Table2[[#This Row],[New Engine Fuel Type:]],EFTable[],5,FALSE)))</f>
        <v/>
      </c>
      <c r="BO112" s="190" t="str">
        <f>IF(Table2[[#This Row],[Counter Number]]="","",Table2[[#This Row],[Old Bus HC Emissions (tons/yr)]]-Table2[[#This Row],[New Bus HC Emissions (tons/yr)]])</f>
        <v/>
      </c>
      <c r="BP112" s="188" t="str">
        <f>IF(Table2[[#This Row],[Counter Number]]="","",Table2[[#This Row],[Reduction Bus HC Emissions (tons/yr)]]/Table2[[#This Row],[Old Bus HC Emissions (tons/yr)]])</f>
        <v/>
      </c>
      <c r="BQ112" s="193" t="str">
        <f>IF(Table2[[#This Row],[Counter Number]]="","",Table2[[#This Row],[Reduction Bus HC Emissions (tons/yr)]]*Table2[[#This Row],[Remaining Life:]])</f>
        <v/>
      </c>
      <c r="BR112" s="194" t="str">
        <f>IF(Table2[[#This Row],[Counter Number]]="","",IF(Table2[[#This Row],[Lifetime HC Reduction (tons)]]=0,"NA",Table2[[#This Row],[Upgrade Cost Per Unit]]/Table2[[#This Row],[Lifetime HC Reduction (tons)]]))</f>
        <v/>
      </c>
      <c r="BS112" s="191" t="str">
        <f>IF(Table2[[#This Row],[Counter Number]]="","",Table2[[#This Row],[Annual Miles Traveled:]]*VLOOKUP(Table2[[#This Row],[Engine Model Year:]],EF!$A$2:$G$27,6,FALSE))</f>
        <v/>
      </c>
      <c r="BT112" s="173" t="str">
        <f>IF(Table2[[#This Row],[Counter Number]]="","",Table2[[#This Row],[Annual Miles Traveled:]]*IF(Table2[[#This Row],[New Engine Fuel Type:]]="ULSD",VLOOKUP(Table2[[#This Row],[New Engine Model Year:]],EFTable[],6,FALSE),VLOOKUP(Table2[[#This Row],[New Engine Fuel Type:]],EFTable[],6,FALSE)))</f>
        <v/>
      </c>
      <c r="BU112" s="190" t="str">
        <f>IF(Table2[[#This Row],[Counter Number]]="","",Table2[[#This Row],[Old Bus CO Emissions (tons/yr)]]-Table2[[#This Row],[New Bus CO Emissions (tons/yr)]])</f>
        <v/>
      </c>
      <c r="BV112" s="188" t="str">
        <f>IF(Table2[[#This Row],[Counter Number]]="","",Table2[[#This Row],[Reduction Bus CO Emissions (tons/yr)]]/Table2[[#This Row],[Old Bus CO Emissions (tons/yr)]])</f>
        <v/>
      </c>
      <c r="BW112" s="193" t="str">
        <f>IF(Table2[[#This Row],[Counter Number]]="","",Table2[[#This Row],[Reduction Bus CO Emissions (tons/yr)]]*Table2[[#This Row],[Remaining Life:]])</f>
        <v/>
      </c>
      <c r="BX112" s="194" t="str">
        <f>IF(Table2[[#This Row],[Counter Number]]="","",IF(Table2[[#This Row],[Lifetime CO Reduction (tons)]]=0,"NA",Table2[[#This Row],[Upgrade Cost Per Unit]]/Table2[[#This Row],[Lifetime CO Reduction (tons)]]))</f>
        <v/>
      </c>
      <c r="BY112" s="180" t="str">
        <f>IF(Table2[[#This Row],[Counter Number]]="","",Table2[[#This Row],[Old ULSD Used (gal):]]*VLOOKUP(Table2[[#This Row],[Engine Model Year:]],EF!$A$2:$G$27,7,FALSE))</f>
        <v/>
      </c>
      <c r="BZ11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2" s="195" t="str">
        <f>IF(Table2[[#This Row],[Counter Number]]="","",Table2[[#This Row],[Old Bus CO2 Emissions (tons/yr)]]-Table2[[#This Row],[New Bus CO2 Emissions (tons/yr)]])</f>
        <v/>
      </c>
      <c r="CB112" s="188" t="str">
        <f>IF(Table2[[#This Row],[Counter Number]]="","",Table2[[#This Row],[Reduction Bus CO2 Emissions (tons/yr)]]/Table2[[#This Row],[Old Bus CO2 Emissions (tons/yr)]])</f>
        <v/>
      </c>
      <c r="CC112" s="195" t="str">
        <f>IF(Table2[[#This Row],[Counter Number]]="","",Table2[[#This Row],[Reduction Bus CO2 Emissions (tons/yr)]]*Table2[[#This Row],[Remaining Life:]])</f>
        <v/>
      </c>
      <c r="CD112" s="194" t="str">
        <f>IF(Table2[[#This Row],[Counter Number]]="","",IF(Table2[[#This Row],[Lifetime CO2 Reduction (tons)]]=0,"NA",Table2[[#This Row],[Upgrade Cost Per Unit]]/Table2[[#This Row],[Lifetime CO2 Reduction (tons)]]))</f>
        <v/>
      </c>
      <c r="CE112" s="182" t="str">
        <f>IF(Table2[[#This Row],[Counter Number]]="","",IF(Table2[[#This Row],[New ULSD Used (gal):]]="",Table2[[#This Row],[Old ULSD Used (gal):]],Table2[[#This Row],[Old ULSD Used (gal):]]-Table2[[#This Row],[New ULSD Used (gal):]]))</f>
        <v/>
      </c>
      <c r="CF112" s="196" t="str">
        <f>IF(Table2[[#This Row],[Counter Number]]="","",Table2[[#This Row],[Diesel Fuel Reduction (gal/yr)]]/Table2[[#This Row],[Old ULSD Used (gal):]])</f>
        <v/>
      </c>
      <c r="CG112" s="197" t="str">
        <f>IF(Table2[[#This Row],[Counter Number]]="","",Table2[[#This Row],[Diesel Fuel Reduction (gal/yr)]]*Table2[[#This Row],[Remaining Life:]])</f>
        <v/>
      </c>
    </row>
    <row r="113" spans="1:85">
      <c r="A113" s="184" t="str">
        <f>IF(A112&lt;Application!$D$24,A112+1,"")</f>
        <v/>
      </c>
      <c r="B113" s="60" t="str">
        <f>IF(Table2[[#This Row],[Counter Number]]="","",Application!$D$16)</f>
        <v/>
      </c>
      <c r="C113" s="60" t="str">
        <f>IF(Table2[[#This Row],[Counter Number]]="","",Application!$D$14)</f>
        <v/>
      </c>
      <c r="D113" s="60" t="str">
        <f>IF(Table2[[#This Row],[Counter Number]]="","",Table1[[#This Row],[Old Bus Number]])</f>
        <v/>
      </c>
      <c r="E113" s="60" t="str">
        <f>IF(Table2[[#This Row],[Counter Number]]="","",Application!$D$15)</f>
        <v/>
      </c>
      <c r="F113" s="60" t="str">
        <f>IF(Table2[[#This Row],[Counter Number]]="","","On Highway")</f>
        <v/>
      </c>
      <c r="G113" s="60" t="str">
        <f>IF(Table2[[#This Row],[Counter Number]]="","",I113)</f>
        <v/>
      </c>
      <c r="H113" s="60" t="str">
        <f>IF(Table2[[#This Row],[Counter Number]]="","","Georgia")</f>
        <v/>
      </c>
      <c r="I113" s="60" t="str">
        <f>IF(Table2[[#This Row],[Counter Number]]="","",Application!$D$16)</f>
        <v/>
      </c>
      <c r="J113" s="60" t="str">
        <f>IF(Table2[[#This Row],[Counter Number]]="","",Application!$D$21)</f>
        <v/>
      </c>
      <c r="K113" s="60" t="str">
        <f>IF(Table2[[#This Row],[Counter Number]]="","",Application!$J$21)</f>
        <v/>
      </c>
      <c r="L113" s="60" t="str">
        <f>IF(Table2[[#This Row],[Counter Number]]="","","School Bus")</f>
        <v/>
      </c>
      <c r="M113" s="60" t="str">
        <f>IF(Table2[[#This Row],[Counter Number]]="","","School Bus")</f>
        <v/>
      </c>
      <c r="N113" s="60" t="str">
        <f>IF(Table2[[#This Row],[Counter Number]]="","",1)</f>
        <v/>
      </c>
      <c r="O113" s="60" t="str">
        <f>IF(Table2[[#This Row],[Counter Number]]="","",Table1[[#This Row],[Vehicle Identification Number(s):]])</f>
        <v/>
      </c>
      <c r="P113" s="60" t="str">
        <f>IF(Table2[[#This Row],[Counter Number]]="","",Table1[[#This Row],[Old Bus Manufacturer:]])</f>
        <v/>
      </c>
      <c r="Q113" s="60" t="str">
        <f>IF(Table2[[#This Row],[Counter Number]]="","",Table1[[#This Row],[Vehicle Model:]])</f>
        <v/>
      </c>
      <c r="R113" s="165" t="str">
        <f>IF(Table2[[#This Row],[Counter Number]]="","",Table1[[#This Row],[Vehicle Model Year:]])</f>
        <v/>
      </c>
      <c r="S113" s="60" t="str">
        <f>IF(Table2[[#This Row],[Counter Number]]="","",Table1[[#This Row],[Engine Serial Number(s):]])</f>
        <v/>
      </c>
      <c r="T113" s="60" t="str">
        <f>IF(Table2[[#This Row],[Counter Number]]="","",Table1[[#This Row],[Engine Make:]])</f>
        <v/>
      </c>
      <c r="U113" s="60" t="str">
        <f>IF(Table2[[#This Row],[Counter Number]]="","",Table1[[#This Row],[Engine Model:]])</f>
        <v/>
      </c>
      <c r="V113" s="165" t="str">
        <f>IF(Table2[[#This Row],[Counter Number]]="","",Table1[[#This Row],[Engine Model Year:]])</f>
        <v/>
      </c>
      <c r="W113" s="60" t="str">
        <f>IF(Table2[[#This Row],[Counter Number]]="","","NA")</f>
        <v/>
      </c>
      <c r="X113" s="165" t="str">
        <f>IF(Table2[[#This Row],[Counter Number]]="","",Table1[[#This Row],[Engine Horsepower (HP):]])</f>
        <v/>
      </c>
      <c r="Y113" s="165" t="str">
        <f>IF(Table2[[#This Row],[Counter Number]]="","",Table1[[#This Row],[Engine Cylinder Displacement (L):]]&amp;" L")</f>
        <v/>
      </c>
      <c r="Z113" s="165" t="str">
        <f>IF(Table2[[#This Row],[Counter Number]]="","",Table1[[#This Row],[Engine Number of Cylinders:]])</f>
        <v/>
      </c>
      <c r="AA113" s="166" t="str">
        <f>IF(Table2[[#This Row],[Counter Number]]="","",Table1[[#This Row],[Engine Family Name:]])</f>
        <v/>
      </c>
      <c r="AB113" s="60" t="str">
        <f>IF(Table2[[#This Row],[Counter Number]]="","","ULSD")</f>
        <v/>
      </c>
      <c r="AC113" s="167" t="str">
        <f>IF(Table2[[#This Row],[Counter Number]]="","",Table2[[#This Row],[Annual Miles Traveled:]]/Table1[[#This Row],[Old Fuel (mpg)]])</f>
        <v/>
      </c>
      <c r="AD113" s="60" t="str">
        <f>IF(Table2[[#This Row],[Counter Number]]="","","NA")</f>
        <v/>
      </c>
      <c r="AE113" s="168" t="str">
        <f>IF(Table2[[#This Row],[Counter Number]]="","",Table1[[#This Row],[Annual Miles Traveled]])</f>
        <v/>
      </c>
      <c r="AF113" s="169" t="str">
        <f>IF(Table2[[#This Row],[Counter Number]]="","",Table1[[#This Row],[Annual Idling Hours:]])</f>
        <v/>
      </c>
      <c r="AG113" s="60" t="str">
        <f>IF(Table2[[#This Row],[Counter Number]]="","","NA")</f>
        <v/>
      </c>
      <c r="AH113" s="165" t="str">
        <f>IF(Table2[[#This Row],[Counter Number]]="","",IF(Application!$J$25="Set Policy",Table1[[#This Row],[Remaining Life (years)         Set Policy]],Table1[[#This Row],[Remaining Life (years)               Case-by-Case]]))</f>
        <v/>
      </c>
      <c r="AI113" s="165" t="str">
        <f>IF(Table2[[#This Row],[Counter Number]]="","",IF(Application!$J$25="Case-by-Case","NA",Table2[[#This Row],[Fiscal Year of EPA Funds Used:]]+Table2[[#This Row],[Remaining Life:]]))</f>
        <v/>
      </c>
      <c r="AJ113" s="165"/>
      <c r="AK113" s="170" t="str">
        <f>IF(Table2[[#This Row],[Counter Number]]="","",Application!$D$14+1)</f>
        <v/>
      </c>
      <c r="AL113" s="60" t="str">
        <f>IF(Table2[[#This Row],[Counter Number]]="","","Vehicle Replacement")</f>
        <v/>
      </c>
      <c r="AM11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3" s="171" t="str">
        <f>IF(Table2[[#This Row],[Counter Number]]="","",Table1[[#This Row],[Cost of New Bus:]])</f>
        <v/>
      </c>
      <c r="AO113" s="60" t="str">
        <f>IF(Table2[[#This Row],[Counter Number]]="","","NA")</f>
        <v/>
      </c>
      <c r="AP113" s="165" t="str">
        <f>IF(Table2[[#This Row],[Counter Number]]="","",Table1[[#This Row],[New Engine Model Year:]])</f>
        <v/>
      </c>
      <c r="AQ113" s="60" t="str">
        <f>IF(Table2[[#This Row],[Counter Number]]="","","NA")</f>
        <v/>
      </c>
      <c r="AR113" s="165" t="str">
        <f>IF(Table2[[#This Row],[Counter Number]]="","",Table1[[#This Row],[New Engine Horsepower (HP):]])</f>
        <v/>
      </c>
      <c r="AS113" s="60" t="str">
        <f>IF(Table2[[#This Row],[Counter Number]]="","","NA")</f>
        <v/>
      </c>
      <c r="AT113" s="165" t="str">
        <f>IF(Table2[[#This Row],[Counter Number]]="","",Table1[[#This Row],[New Engine Cylinder Displacement (L):]]&amp;" L")</f>
        <v/>
      </c>
      <c r="AU113" s="114" t="str">
        <f>IF(Table2[[#This Row],[Counter Number]]="","",Table1[[#This Row],[New Engine Number of Cylinders:]])</f>
        <v/>
      </c>
      <c r="AV113" s="60" t="str">
        <f>IF(Table2[[#This Row],[Counter Number]]="","",Table1[[#This Row],[New Engine Family Name:]])</f>
        <v/>
      </c>
      <c r="AW11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3" s="60" t="str">
        <f>IF(Table2[[#This Row],[Counter Number]]="","","NA")</f>
        <v/>
      </c>
      <c r="AY113" s="172" t="str">
        <f>IF(Table2[[#This Row],[Counter Number]]="","",IF(Table2[[#This Row],[New Engine Fuel Type:]]="ULSD",Table1[[#This Row],[Annual Miles Traveled]]/Table1[[#This Row],[New Fuel (mpg) if Diesel]],""))</f>
        <v/>
      </c>
      <c r="AZ113" s="60"/>
      <c r="BA113" s="173" t="str">
        <f>IF(Table2[[#This Row],[Counter Number]]="","",Table2[[#This Row],[Annual Miles Traveled:]]*VLOOKUP(Table2[[#This Row],[Engine Model Year:]],EFTable[],3,FALSE))</f>
        <v/>
      </c>
      <c r="BB113" s="173" t="str">
        <f>IF(Table2[[#This Row],[Counter Number]]="","",Table2[[#This Row],[Annual Miles Traveled:]]*IF(Table2[[#This Row],[New Engine Fuel Type:]]="ULSD",VLOOKUP(Table2[[#This Row],[New Engine Model Year:]],EFTable[],3,FALSE),VLOOKUP(Table2[[#This Row],[New Engine Fuel Type:]],EFTable[],3,FALSE)))</f>
        <v/>
      </c>
      <c r="BC113" s="187" t="str">
        <f>IF(Table2[[#This Row],[Counter Number]]="","",Table2[[#This Row],[Old Bus NOx Emissions (tons/yr)]]-Table2[[#This Row],[New Bus NOx Emissions (tons/yr)]])</f>
        <v/>
      </c>
      <c r="BD113" s="188" t="str">
        <f>IF(Table2[[#This Row],[Counter Number]]="","",Table2[[#This Row],[Reduction Bus NOx Emissions (tons/yr)]]/Table2[[#This Row],[Old Bus NOx Emissions (tons/yr)]])</f>
        <v/>
      </c>
      <c r="BE113" s="175" t="str">
        <f>IF(Table2[[#This Row],[Counter Number]]="","",Table2[[#This Row],[Reduction Bus NOx Emissions (tons/yr)]]*Table2[[#This Row],[Remaining Life:]])</f>
        <v/>
      </c>
      <c r="BF113" s="189" t="str">
        <f>IF(Table2[[#This Row],[Counter Number]]="","",IF(Table2[[#This Row],[Lifetime NOx Reduction (tons)]]=0,"NA",Table2[[#This Row],[Upgrade Cost Per Unit]]/Table2[[#This Row],[Lifetime NOx Reduction (tons)]]))</f>
        <v/>
      </c>
      <c r="BG113" s="190" t="str">
        <f>IF(Table2[[#This Row],[Counter Number]]="","",Table2[[#This Row],[Annual Miles Traveled:]]*VLOOKUP(Table2[[#This Row],[Engine Model Year:]],EF!$A$2:$G$27,4,FALSE))</f>
        <v/>
      </c>
      <c r="BH113" s="173" t="str">
        <f>IF(Table2[[#This Row],[Counter Number]]="","",Table2[[#This Row],[Annual Miles Traveled:]]*IF(Table2[[#This Row],[New Engine Fuel Type:]]="ULSD",VLOOKUP(Table2[[#This Row],[New Engine Model Year:]],EFTable[],4,FALSE),VLOOKUP(Table2[[#This Row],[New Engine Fuel Type:]],EFTable[],4,FALSE)))</f>
        <v/>
      </c>
      <c r="BI113" s="191" t="str">
        <f>IF(Table2[[#This Row],[Counter Number]]="","",Table2[[#This Row],[Old Bus PM2.5 Emissions (tons/yr)]]-Table2[[#This Row],[New Bus PM2.5 Emissions (tons/yr)]])</f>
        <v/>
      </c>
      <c r="BJ113" s="192" t="str">
        <f>IF(Table2[[#This Row],[Counter Number]]="","",Table2[[#This Row],[Reduction Bus PM2.5 Emissions (tons/yr)]]/Table2[[#This Row],[Old Bus PM2.5 Emissions (tons/yr)]])</f>
        <v/>
      </c>
      <c r="BK113" s="193" t="str">
        <f>IF(Table2[[#This Row],[Counter Number]]="","",Table2[[#This Row],[Reduction Bus PM2.5 Emissions (tons/yr)]]*Table2[[#This Row],[Remaining Life:]])</f>
        <v/>
      </c>
      <c r="BL113" s="194" t="str">
        <f>IF(Table2[[#This Row],[Counter Number]]="","",IF(Table2[[#This Row],[Lifetime PM2.5 Reduction (tons)]]=0,"NA",Table2[[#This Row],[Upgrade Cost Per Unit]]/Table2[[#This Row],[Lifetime PM2.5 Reduction (tons)]]))</f>
        <v/>
      </c>
      <c r="BM113" s="179" t="str">
        <f>IF(Table2[[#This Row],[Counter Number]]="","",Table2[[#This Row],[Annual Miles Traveled:]]*VLOOKUP(Table2[[#This Row],[Engine Model Year:]],EF!$A$2:$G$40,5,FALSE))</f>
        <v/>
      </c>
      <c r="BN113" s="173" t="str">
        <f>IF(Table2[[#This Row],[Counter Number]]="","",Table2[[#This Row],[Annual Miles Traveled:]]*IF(Table2[[#This Row],[New Engine Fuel Type:]]="ULSD",VLOOKUP(Table2[[#This Row],[New Engine Model Year:]],EFTable[],5,FALSE),VLOOKUP(Table2[[#This Row],[New Engine Fuel Type:]],EFTable[],5,FALSE)))</f>
        <v/>
      </c>
      <c r="BO113" s="190" t="str">
        <f>IF(Table2[[#This Row],[Counter Number]]="","",Table2[[#This Row],[Old Bus HC Emissions (tons/yr)]]-Table2[[#This Row],[New Bus HC Emissions (tons/yr)]])</f>
        <v/>
      </c>
      <c r="BP113" s="188" t="str">
        <f>IF(Table2[[#This Row],[Counter Number]]="","",Table2[[#This Row],[Reduction Bus HC Emissions (tons/yr)]]/Table2[[#This Row],[Old Bus HC Emissions (tons/yr)]])</f>
        <v/>
      </c>
      <c r="BQ113" s="193" t="str">
        <f>IF(Table2[[#This Row],[Counter Number]]="","",Table2[[#This Row],[Reduction Bus HC Emissions (tons/yr)]]*Table2[[#This Row],[Remaining Life:]])</f>
        <v/>
      </c>
      <c r="BR113" s="194" t="str">
        <f>IF(Table2[[#This Row],[Counter Number]]="","",IF(Table2[[#This Row],[Lifetime HC Reduction (tons)]]=0,"NA",Table2[[#This Row],[Upgrade Cost Per Unit]]/Table2[[#This Row],[Lifetime HC Reduction (tons)]]))</f>
        <v/>
      </c>
      <c r="BS113" s="191" t="str">
        <f>IF(Table2[[#This Row],[Counter Number]]="","",Table2[[#This Row],[Annual Miles Traveled:]]*VLOOKUP(Table2[[#This Row],[Engine Model Year:]],EF!$A$2:$G$27,6,FALSE))</f>
        <v/>
      </c>
      <c r="BT113" s="173" t="str">
        <f>IF(Table2[[#This Row],[Counter Number]]="","",Table2[[#This Row],[Annual Miles Traveled:]]*IF(Table2[[#This Row],[New Engine Fuel Type:]]="ULSD",VLOOKUP(Table2[[#This Row],[New Engine Model Year:]],EFTable[],6,FALSE),VLOOKUP(Table2[[#This Row],[New Engine Fuel Type:]],EFTable[],6,FALSE)))</f>
        <v/>
      </c>
      <c r="BU113" s="190" t="str">
        <f>IF(Table2[[#This Row],[Counter Number]]="","",Table2[[#This Row],[Old Bus CO Emissions (tons/yr)]]-Table2[[#This Row],[New Bus CO Emissions (tons/yr)]])</f>
        <v/>
      </c>
      <c r="BV113" s="188" t="str">
        <f>IF(Table2[[#This Row],[Counter Number]]="","",Table2[[#This Row],[Reduction Bus CO Emissions (tons/yr)]]/Table2[[#This Row],[Old Bus CO Emissions (tons/yr)]])</f>
        <v/>
      </c>
      <c r="BW113" s="193" t="str">
        <f>IF(Table2[[#This Row],[Counter Number]]="","",Table2[[#This Row],[Reduction Bus CO Emissions (tons/yr)]]*Table2[[#This Row],[Remaining Life:]])</f>
        <v/>
      </c>
      <c r="BX113" s="194" t="str">
        <f>IF(Table2[[#This Row],[Counter Number]]="","",IF(Table2[[#This Row],[Lifetime CO Reduction (tons)]]=0,"NA",Table2[[#This Row],[Upgrade Cost Per Unit]]/Table2[[#This Row],[Lifetime CO Reduction (tons)]]))</f>
        <v/>
      </c>
      <c r="BY113" s="180" t="str">
        <f>IF(Table2[[#This Row],[Counter Number]]="","",Table2[[#This Row],[Old ULSD Used (gal):]]*VLOOKUP(Table2[[#This Row],[Engine Model Year:]],EF!$A$2:$G$27,7,FALSE))</f>
        <v/>
      </c>
      <c r="BZ11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3" s="195" t="str">
        <f>IF(Table2[[#This Row],[Counter Number]]="","",Table2[[#This Row],[Old Bus CO2 Emissions (tons/yr)]]-Table2[[#This Row],[New Bus CO2 Emissions (tons/yr)]])</f>
        <v/>
      </c>
      <c r="CB113" s="188" t="str">
        <f>IF(Table2[[#This Row],[Counter Number]]="","",Table2[[#This Row],[Reduction Bus CO2 Emissions (tons/yr)]]/Table2[[#This Row],[Old Bus CO2 Emissions (tons/yr)]])</f>
        <v/>
      </c>
      <c r="CC113" s="195" t="str">
        <f>IF(Table2[[#This Row],[Counter Number]]="","",Table2[[#This Row],[Reduction Bus CO2 Emissions (tons/yr)]]*Table2[[#This Row],[Remaining Life:]])</f>
        <v/>
      </c>
      <c r="CD113" s="194" t="str">
        <f>IF(Table2[[#This Row],[Counter Number]]="","",IF(Table2[[#This Row],[Lifetime CO2 Reduction (tons)]]=0,"NA",Table2[[#This Row],[Upgrade Cost Per Unit]]/Table2[[#This Row],[Lifetime CO2 Reduction (tons)]]))</f>
        <v/>
      </c>
      <c r="CE113" s="182" t="str">
        <f>IF(Table2[[#This Row],[Counter Number]]="","",IF(Table2[[#This Row],[New ULSD Used (gal):]]="",Table2[[#This Row],[Old ULSD Used (gal):]],Table2[[#This Row],[Old ULSD Used (gal):]]-Table2[[#This Row],[New ULSD Used (gal):]]))</f>
        <v/>
      </c>
      <c r="CF113" s="196" t="str">
        <f>IF(Table2[[#This Row],[Counter Number]]="","",Table2[[#This Row],[Diesel Fuel Reduction (gal/yr)]]/Table2[[#This Row],[Old ULSD Used (gal):]])</f>
        <v/>
      </c>
      <c r="CG113" s="197" t="str">
        <f>IF(Table2[[#This Row],[Counter Number]]="","",Table2[[#This Row],[Diesel Fuel Reduction (gal/yr)]]*Table2[[#This Row],[Remaining Life:]])</f>
        <v/>
      </c>
    </row>
    <row r="114" spans="1:85">
      <c r="A114" s="184" t="str">
        <f>IF(A113&lt;Application!$D$24,A113+1,"")</f>
        <v/>
      </c>
      <c r="B114" s="60" t="str">
        <f>IF(Table2[[#This Row],[Counter Number]]="","",Application!$D$16)</f>
        <v/>
      </c>
      <c r="C114" s="60" t="str">
        <f>IF(Table2[[#This Row],[Counter Number]]="","",Application!$D$14)</f>
        <v/>
      </c>
      <c r="D114" s="60" t="str">
        <f>IF(Table2[[#This Row],[Counter Number]]="","",Table1[[#This Row],[Old Bus Number]])</f>
        <v/>
      </c>
      <c r="E114" s="60" t="str">
        <f>IF(Table2[[#This Row],[Counter Number]]="","",Application!$D$15)</f>
        <v/>
      </c>
      <c r="F114" s="60" t="str">
        <f>IF(Table2[[#This Row],[Counter Number]]="","","On Highway")</f>
        <v/>
      </c>
      <c r="G114" s="60" t="str">
        <f>IF(Table2[[#This Row],[Counter Number]]="","",I114)</f>
        <v/>
      </c>
      <c r="H114" s="60" t="str">
        <f>IF(Table2[[#This Row],[Counter Number]]="","","Georgia")</f>
        <v/>
      </c>
      <c r="I114" s="60" t="str">
        <f>IF(Table2[[#This Row],[Counter Number]]="","",Application!$D$16)</f>
        <v/>
      </c>
      <c r="J114" s="60" t="str">
        <f>IF(Table2[[#This Row],[Counter Number]]="","",Application!$D$21)</f>
        <v/>
      </c>
      <c r="K114" s="60" t="str">
        <f>IF(Table2[[#This Row],[Counter Number]]="","",Application!$J$21)</f>
        <v/>
      </c>
      <c r="L114" s="60" t="str">
        <f>IF(Table2[[#This Row],[Counter Number]]="","","School Bus")</f>
        <v/>
      </c>
      <c r="M114" s="60" t="str">
        <f>IF(Table2[[#This Row],[Counter Number]]="","","School Bus")</f>
        <v/>
      </c>
      <c r="N114" s="60" t="str">
        <f>IF(Table2[[#This Row],[Counter Number]]="","",1)</f>
        <v/>
      </c>
      <c r="O114" s="60" t="str">
        <f>IF(Table2[[#This Row],[Counter Number]]="","",Table1[[#This Row],[Vehicle Identification Number(s):]])</f>
        <v/>
      </c>
      <c r="P114" s="60" t="str">
        <f>IF(Table2[[#This Row],[Counter Number]]="","",Table1[[#This Row],[Old Bus Manufacturer:]])</f>
        <v/>
      </c>
      <c r="Q114" s="60" t="str">
        <f>IF(Table2[[#This Row],[Counter Number]]="","",Table1[[#This Row],[Vehicle Model:]])</f>
        <v/>
      </c>
      <c r="R114" s="165" t="str">
        <f>IF(Table2[[#This Row],[Counter Number]]="","",Table1[[#This Row],[Vehicle Model Year:]])</f>
        <v/>
      </c>
      <c r="S114" s="60" t="str">
        <f>IF(Table2[[#This Row],[Counter Number]]="","",Table1[[#This Row],[Engine Serial Number(s):]])</f>
        <v/>
      </c>
      <c r="T114" s="60" t="str">
        <f>IF(Table2[[#This Row],[Counter Number]]="","",Table1[[#This Row],[Engine Make:]])</f>
        <v/>
      </c>
      <c r="U114" s="60" t="str">
        <f>IF(Table2[[#This Row],[Counter Number]]="","",Table1[[#This Row],[Engine Model:]])</f>
        <v/>
      </c>
      <c r="V114" s="165" t="str">
        <f>IF(Table2[[#This Row],[Counter Number]]="","",Table1[[#This Row],[Engine Model Year:]])</f>
        <v/>
      </c>
      <c r="W114" s="60" t="str">
        <f>IF(Table2[[#This Row],[Counter Number]]="","","NA")</f>
        <v/>
      </c>
      <c r="X114" s="165" t="str">
        <f>IF(Table2[[#This Row],[Counter Number]]="","",Table1[[#This Row],[Engine Horsepower (HP):]])</f>
        <v/>
      </c>
      <c r="Y114" s="165" t="str">
        <f>IF(Table2[[#This Row],[Counter Number]]="","",Table1[[#This Row],[Engine Cylinder Displacement (L):]]&amp;" L")</f>
        <v/>
      </c>
      <c r="Z114" s="165" t="str">
        <f>IF(Table2[[#This Row],[Counter Number]]="","",Table1[[#This Row],[Engine Number of Cylinders:]])</f>
        <v/>
      </c>
      <c r="AA114" s="166" t="str">
        <f>IF(Table2[[#This Row],[Counter Number]]="","",Table1[[#This Row],[Engine Family Name:]])</f>
        <v/>
      </c>
      <c r="AB114" s="60" t="str">
        <f>IF(Table2[[#This Row],[Counter Number]]="","","ULSD")</f>
        <v/>
      </c>
      <c r="AC114" s="167" t="str">
        <f>IF(Table2[[#This Row],[Counter Number]]="","",Table2[[#This Row],[Annual Miles Traveled:]]/Table1[[#This Row],[Old Fuel (mpg)]])</f>
        <v/>
      </c>
      <c r="AD114" s="60" t="str">
        <f>IF(Table2[[#This Row],[Counter Number]]="","","NA")</f>
        <v/>
      </c>
      <c r="AE114" s="168" t="str">
        <f>IF(Table2[[#This Row],[Counter Number]]="","",Table1[[#This Row],[Annual Miles Traveled]])</f>
        <v/>
      </c>
      <c r="AF114" s="169" t="str">
        <f>IF(Table2[[#This Row],[Counter Number]]="","",Table1[[#This Row],[Annual Idling Hours:]])</f>
        <v/>
      </c>
      <c r="AG114" s="60" t="str">
        <f>IF(Table2[[#This Row],[Counter Number]]="","","NA")</f>
        <v/>
      </c>
      <c r="AH114" s="165" t="str">
        <f>IF(Table2[[#This Row],[Counter Number]]="","",IF(Application!$J$25="Set Policy",Table1[[#This Row],[Remaining Life (years)         Set Policy]],Table1[[#This Row],[Remaining Life (years)               Case-by-Case]]))</f>
        <v/>
      </c>
      <c r="AI114" s="165" t="str">
        <f>IF(Table2[[#This Row],[Counter Number]]="","",IF(Application!$J$25="Case-by-Case","NA",Table2[[#This Row],[Fiscal Year of EPA Funds Used:]]+Table2[[#This Row],[Remaining Life:]]))</f>
        <v/>
      </c>
      <c r="AJ114" s="165"/>
      <c r="AK114" s="170" t="str">
        <f>IF(Table2[[#This Row],[Counter Number]]="","",Application!$D$14+1)</f>
        <v/>
      </c>
      <c r="AL114" s="60" t="str">
        <f>IF(Table2[[#This Row],[Counter Number]]="","","Vehicle Replacement")</f>
        <v/>
      </c>
      <c r="AM11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4" s="171" t="str">
        <f>IF(Table2[[#This Row],[Counter Number]]="","",Table1[[#This Row],[Cost of New Bus:]])</f>
        <v/>
      </c>
      <c r="AO114" s="60" t="str">
        <f>IF(Table2[[#This Row],[Counter Number]]="","","NA")</f>
        <v/>
      </c>
      <c r="AP114" s="165" t="str">
        <f>IF(Table2[[#This Row],[Counter Number]]="","",Table1[[#This Row],[New Engine Model Year:]])</f>
        <v/>
      </c>
      <c r="AQ114" s="60" t="str">
        <f>IF(Table2[[#This Row],[Counter Number]]="","","NA")</f>
        <v/>
      </c>
      <c r="AR114" s="165" t="str">
        <f>IF(Table2[[#This Row],[Counter Number]]="","",Table1[[#This Row],[New Engine Horsepower (HP):]])</f>
        <v/>
      </c>
      <c r="AS114" s="60" t="str">
        <f>IF(Table2[[#This Row],[Counter Number]]="","","NA")</f>
        <v/>
      </c>
      <c r="AT114" s="165" t="str">
        <f>IF(Table2[[#This Row],[Counter Number]]="","",Table1[[#This Row],[New Engine Cylinder Displacement (L):]]&amp;" L")</f>
        <v/>
      </c>
      <c r="AU114" s="114" t="str">
        <f>IF(Table2[[#This Row],[Counter Number]]="","",Table1[[#This Row],[New Engine Number of Cylinders:]])</f>
        <v/>
      </c>
      <c r="AV114" s="60" t="str">
        <f>IF(Table2[[#This Row],[Counter Number]]="","",Table1[[#This Row],[New Engine Family Name:]])</f>
        <v/>
      </c>
      <c r="AW11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4" s="60" t="str">
        <f>IF(Table2[[#This Row],[Counter Number]]="","","NA")</f>
        <v/>
      </c>
      <c r="AY114" s="172" t="str">
        <f>IF(Table2[[#This Row],[Counter Number]]="","",IF(Table2[[#This Row],[New Engine Fuel Type:]]="ULSD",Table1[[#This Row],[Annual Miles Traveled]]/Table1[[#This Row],[New Fuel (mpg) if Diesel]],""))</f>
        <v/>
      </c>
      <c r="AZ114" s="60"/>
      <c r="BA114" s="173" t="str">
        <f>IF(Table2[[#This Row],[Counter Number]]="","",Table2[[#This Row],[Annual Miles Traveled:]]*VLOOKUP(Table2[[#This Row],[Engine Model Year:]],EFTable[],3,FALSE))</f>
        <v/>
      </c>
      <c r="BB114" s="173" t="str">
        <f>IF(Table2[[#This Row],[Counter Number]]="","",Table2[[#This Row],[Annual Miles Traveled:]]*IF(Table2[[#This Row],[New Engine Fuel Type:]]="ULSD",VLOOKUP(Table2[[#This Row],[New Engine Model Year:]],EFTable[],3,FALSE),VLOOKUP(Table2[[#This Row],[New Engine Fuel Type:]],EFTable[],3,FALSE)))</f>
        <v/>
      </c>
      <c r="BC114" s="187" t="str">
        <f>IF(Table2[[#This Row],[Counter Number]]="","",Table2[[#This Row],[Old Bus NOx Emissions (tons/yr)]]-Table2[[#This Row],[New Bus NOx Emissions (tons/yr)]])</f>
        <v/>
      </c>
      <c r="BD114" s="188" t="str">
        <f>IF(Table2[[#This Row],[Counter Number]]="","",Table2[[#This Row],[Reduction Bus NOx Emissions (tons/yr)]]/Table2[[#This Row],[Old Bus NOx Emissions (tons/yr)]])</f>
        <v/>
      </c>
      <c r="BE114" s="175" t="str">
        <f>IF(Table2[[#This Row],[Counter Number]]="","",Table2[[#This Row],[Reduction Bus NOx Emissions (tons/yr)]]*Table2[[#This Row],[Remaining Life:]])</f>
        <v/>
      </c>
      <c r="BF114" s="189" t="str">
        <f>IF(Table2[[#This Row],[Counter Number]]="","",IF(Table2[[#This Row],[Lifetime NOx Reduction (tons)]]=0,"NA",Table2[[#This Row],[Upgrade Cost Per Unit]]/Table2[[#This Row],[Lifetime NOx Reduction (tons)]]))</f>
        <v/>
      </c>
      <c r="BG114" s="190" t="str">
        <f>IF(Table2[[#This Row],[Counter Number]]="","",Table2[[#This Row],[Annual Miles Traveled:]]*VLOOKUP(Table2[[#This Row],[Engine Model Year:]],EF!$A$2:$G$27,4,FALSE))</f>
        <v/>
      </c>
      <c r="BH114" s="173" t="str">
        <f>IF(Table2[[#This Row],[Counter Number]]="","",Table2[[#This Row],[Annual Miles Traveled:]]*IF(Table2[[#This Row],[New Engine Fuel Type:]]="ULSD",VLOOKUP(Table2[[#This Row],[New Engine Model Year:]],EFTable[],4,FALSE),VLOOKUP(Table2[[#This Row],[New Engine Fuel Type:]],EFTable[],4,FALSE)))</f>
        <v/>
      </c>
      <c r="BI114" s="191" t="str">
        <f>IF(Table2[[#This Row],[Counter Number]]="","",Table2[[#This Row],[Old Bus PM2.5 Emissions (tons/yr)]]-Table2[[#This Row],[New Bus PM2.5 Emissions (tons/yr)]])</f>
        <v/>
      </c>
      <c r="BJ114" s="192" t="str">
        <f>IF(Table2[[#This Row],[Counter Number]]="","",Table2[[#This Row],[Reduction Bus PM2.5 Emissions (tons/yr)]]/Table2[[#This Row],[Old Bus PM2.5 Emissions (tons/yr)]])</f>
        <v/>
      </c>
      <c r="BK114" s="193" t="str">
        <f>IF(Table2[[#This Row],[Counter Number]]="","",Table2[[#This Row],[Reduction Bus PM2.5 Emissions (tons/yr)]]*Table2[[#This Row],[Remaining Life:]])</f>
        <v/>
      </c>
      <c r="BL114" s="194" t="str">
        <f>IF(Table2[[#This Row],[Counter Number]]="","",IF(Table2[[#This Row],[Lifetime PM2.5 Reduction (tons)]]=0,"NA",Table2[[#This Row],[Upgrade Cost Per Unit]]/Table2[[#This Row],[Lifetime PM2.5 Reduction (tons)]]))</f>
        <v/>
      </c>
      <c r="BM114" s="179" t="str">
        <f>IF(Table2[[#This Row],[Counter Number]]="","",Table2[[#This Row],[Annual Miles Traveled:]]*VLOOKUP(Table2[[#This Row],[Engine Model Year:]],EF!$A$2:$G$40,5,FALSE))</f>
        <v/>
      </c>
      <c r="BN114" s="173" t="str">
        <f>IF(Table2[[#This Row],[Counter Number]]="","",Table2[[#This Row],[Annual Miles Traveled:]]*IF(Table2[[#This Row],[New Engine Fuel Type:]]="ULSD",VLOOKUP(Table2[[#This Row],[New Engine Model Year:]],EFTable[],5,FALSE),VLOOKUP(Table2[[#This Row],[New Engine Fuel Type:]],EFTable[],5,FALSE)))</f>
        <v/>
      </c>
      <c r="BO114" s="190" t="str">
        <f>IF(Table2[[#This Row],[Counter Number]]="","",Table2[[#This Row],[Old Bus HC Emissions (tons/yr)]]-Table2[[#This Row],[New Bus HC Emissions (tons/yr)]])</f>
        <v/>
      </c>
      <c r="BP114" s="188" t="str">
        <f>IF(Table2[[#This Row],[Counter Number]]="","",Table2[[#This Row],[Reduction Bus HC Emissions (tons/yr)]]/Table2[[#This Row],[Old Bus HC Emissions (tons/yr)]])</f>
        <v/>
      </c>
      <c r="BQ114" s="193" t="str">
        <f>IF(Table2[[#This Row],[Counter Number]]="","",Table2[[#This Row],[Reduction Bus HC Emissions (tons/yr)]]*Table2[[#This Row],[Remaining Life:]])</f>
        <v/>
      </c>
      <c r="BR114" s="194" t="str">
        <f>IF(Table2[[#This Row],[Counter Number]]="","",IF(Table2[[#This Row],[Lifetime HC Reduction (tons)]]=0,"NA",Table2[[#This Row],[Upgrade Cost Per Unit]]/Table2[[#This Row],[Lifetime HC Reduction (tons)]]))</f>
        <v/>
      </c>
      <c r="BS114" s="191" t="str">
        <f>IF(Table2[[#This Row],[Counter Number]]="","",Table2[[#This Row],[Annual Miles Traveled:]]*VLOOKUP(Table2[[#This Row],[Engine Model Year:]],EF!$A$2:$G$27,6,FALSE))</f>
        <v/>
      </c>
      <c r="BT114" s="173" t="str">
        <f>IF(Table2[[#This Row],[Counter Number]]="","",Table2[[#This Row],[Annual Miles Traveled:]]*IF(Table2[[#This Row],[New Engine Fuel Type:]]="ULSD",VLOOKUP(Table2[[#This Row],[New Engine Model Year:]],EFTable[],6,FALSE),VLOOKUP(Table2[[#This Row],[New Engine Fuel Type:]],EFTable[],6,FALSE)))</f>
        <v/>
      </c>
      <c r="BU114" s="190" t="str">
        <f>IF(Table2[[#This Row],[Counter Number]]="","",Table2[[#This Row],[Old Bus CO Emissions (tons/yr)]]-Table2[[#This Row],[New Bus CO Emissions (tons/yr)]])</f>
        <v/>
      </c>
      <c r="BV114" s="188" t="str">
        <f>IF(Table2[[#This Row],[Counter Number]]="","",Table2[[#This Row],[Reduction Bus CO Emissions (tons/yr)]]/Table2[[#This Row],[Old Bus CO Emissions (tons/yr)]])</f>
        <v/>
      </c>
      <c r="BW114" s="193" t="str">
        <f>IF(Table2[[#This Row],[Counter Number]]="","",Table2[[#This Row],[Reduction Bus CO Emissions (tons/yr)]]*Table2[[#This Row],[Remaining Life:]])</f>
        <v/>
      </c>
      <c r="BX114" s="194" t="str">
        <f>IF(Table2[[#This Row],[Counter Number]]="","",IF(Table2[[#This Row],[Lifetime CO Reduction (tons)]]=0,"NA",Table2[[#This Row],[Upgrade Cost Per Unit]]/Table2[[#This Row],[Lifetime CO Reduction (tons)]]))</f>
        <v/>
      </c>
      <c r="BY114" s="180" t="str">
        <f>IF(Table2[[#This Row],[Counter Number]]="","",Table2[[#This Row],[Old ULSD Used (gal):]]*VLOOKUP(Table2[[#This Row],[Engine Model Year:]],EF!$A$2:$G$27,7,FALSE))</f>
        <v/>
      </c>
      <c r="BZ11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4" s="195" t="str">
        <f>IF(Table2[[#This Row],[Counter Number]]="","",Table2[[#This Row],[Old Bus CO2 Emissions (tons/yr)]]-Table2[[#This Row],[New Bus CO2 Emissions (tons/yr)]])</f>
        <v/>
      </c>
      <c r="CB114" s="188" t="str">
        <f>IF(Table2[[#This Row],[Counter Number]]="","",Table2[[#This Row],[Reduction Bus CO2 Emissions (tons/yr)]]/Table2[[#This Row],[Old Bus CO2 Emissions (tons/yr)]])</f>
        <v/>
      </c>
      <c r="CC114" s="195" t="str">
        <f>IF(Table2[[#This Row],[Counter Number]]="","",Table2[[#This Row],[Reduction Bus CO2 Emissions (tons/yr)]]*Table2[[#This Row],[Remaining Life:]])</f>
        <v/>
      </c>
      <c r="CD114" s="194" t="str">
        <f>IF(Table2[[#This Row],[Counter Number]]="","",IF(Table2[[#This Row],[Lifetime CO2 Reduction (tons)]]=0,"NA",Table2[[#This Row],[Upgrade Cost Per Unit]]/Table2[[#This Row],[Lifetime CO2 Reduction (tons)]]))</f>
        <v/>
      </c>
      <c r="CE114" s="182" t="str">
        <f>IF(Table2[[#This Row],[Counter Number]]="","",IF(Table2[[#This Row],[New ULSD Used (gal):]]="",Table2[[#This Row],[Old ULSD Used (gal):]],Table2[[#This Row],[Old ULSD Used (gal):]]-Table2[[#This Row],[New ULSD Used (gal):]]))</f>
        <v/>
      </c>
      <c r="CF114" s="196" t="str">
        <f>IF(Table2[[#This Row],[Counter Number]]="","",Table2[[#This Row],[Diesel Fuel Reduction (gal/yr)]]/Table2[[#This Row],[Old ULSD Used (gal):]])</f>
        <v/>
      </c>
      <c r="CG114" s="197" t="str">
        <f>IF(Table2[[#This Row],[Counter Number]]="","",Table2[[#This Row],[Diesel Fuel Reduction (gal/yr)]]*Table2[[#This Row],[Remaining Life:]])</f>
        <v/>
      </c>
    </row>
    <row r="115" spans="1:85">
      <c r="A115" s="184" t="str">
        <f>IF(A114&lt;Application!$D$24,A114+1,"")</f>
        <v/>
      </c>
      <c r="B115" s="60" t="str">
        <f>IF(Table2[[#This Row],[Counter Number]]="","",Application!$D$16)</f>
        <v/>
      </c>
      <c r="C115" s="60" t="str">
        <f>IF(Table2[[#This Row],[Counter Number]]="","",Application!$D$14)</f>
        <v/>
      </c>
      <c r="D115" s="60" t="str">
        <f>IF(Table2[[#This Row],[Counter Number]]="","",Table1[[#This Row],[Old Bus Number]])</f>
        <v/>
      </c>
      <c r="E115" s="60" t="str">
        <f>IF(Table2[[#This Row],[Counter Number]]="","",Application!$D$15)</f>
        <v/>
      </c>
      <c r="F115" s="60" t="str">
        <f>IF(Table2[[#This Row],[Counter Number]]="","","On Highway")</f>
        <v/>
      </c>
      <c r="G115" s="60" t="str">
        <f>IF(Table2[[#This Row],[Counter Number]]="","",I115)</f>
        <v/>
      </c>
      <c r="H115" s="60" t="str">
        <f>IF(Table2[[#This Row],[Counter Number]]="","","Georgia")</f>
        <v/>
      </c>
      <c r="I115" s="60" t="str">
        <f>IF(Table2[[#This Row],[Counter Number]]="","",Application!$D$16)</f>
        <v/>
      </c>
      <c r="J115" s="60" t="str">
        <f>IF(Table2[[#This Row],[Counter Number]]="","",Application!$D$21)</f>
        <v/>
      </c>
      <c r="K115" s="60" t="str">
        <f>IF(Table2[[#This Row],[Counter Number]]="","",Application!$J$21)</f>
        <v/>
      </c>
      <c r="L115" s="60" t="str">
        <f>IF(Table2[[#This Row],[Counter Number]]="","","School Bus")</f>
        <v/>
      </c>
      <c r="M115" s="60" t="str">
        <f>IF(Table2[[#This Row],[Counter Number]]="","","School Bus")</f>
        <v/>
      </c>
      <c r="N115" s="60" t="str">
        <f>IF(Table2[[#This Row],[Counter Number]]="","",1)</f>
        <v/>
      </c>
      <c r="O115" s="60" t="str">
        <f>IF(Table2[[#This Row],[Counter Number]]="","",Table1[[#This Row],[Vehicle Identification Number(s):]])</f>
        <v/>
      </c>
      <c r="P115" s="60" t="str">
        <f>IF(Table2[[#This Row],[Counter Number]]="","",Table1[[#This Row],[Old Bus Manufacturer:]])</f>
        <v/>
      </c>
      <c r="Q115" s="60" t="str">
        <f>IF(Table2[[#This Row],[Counter Number]]="","",Table1[[#This Row],[Vehicle Model:]])</f>
        <v/>
      </c>
      <c r="R115" s="165" t="str">
        <f>IF(Table2[[#This Row],[Counter Number]]="","",Table1[[#This Row],[Vehicle Model Year:]])</f>
        <v/>
      </c>
      <c r="S115" s="60" t="str">
        <f>IF(Table2[[#This Row],[Counter Number]]="","",Table1[[#This Row],[Engine Serial Number(s):]])</f>
        <v/>
      </c>
      <c r="T115" s="60" t="str">
        <f>IF(Table2[[#This Row],[Counter Number]]="","",Table1[[#This Row],[Engine Make:]])</f>
        <v/>
      </c>
      <c r="U115" s="60" t="str">
        <f>IF(Table2[[#This Row],[Counter Number]]="","",Table1[[#This Row],[Engine Model:]])</f>
        <v/>
      </c>
      <c r="V115" s="165" t="str">
        <f>IF(Table2[[#This Row],[Counter Number]]="","",Table1[[#This Row],[Engine Model Year:]])</f>
        <v/>
      </c>
      <c r="W115" s="60" t="str">
        <f>IF(Table2[[#This Row],[Counter Number]]="","","NA")</f>
        <v/>
      </c>
      <c r="X115" s="165" t="str">
        <f>IF(Table2[[#This Row],[Counter Number]]="","",Table1[[#This Row],[Engine Horsepower (HP):]])</f>
        <v/>
      </c>
      <c r="Y115" s="165" t="str">
        <f>IF(Table2[[#This Row],[Counter Number]]="","",Table1[[#This Row],[Engine Cylinder Displacement (L):]]&amp;" L")</f>
        <v/>
      </c>
      <c r="Z115" s="165" t="str">
        <f>IF(Table2[[#This Row],[Counter Number]]="","",Table1[[#This Row],[Engine Number of Cylinders:]])</f>
        <v/>
      </c>
      <c r="AA115" s="166" t="str">
        <f>IF(Table2[[#This Row],[Counter Number]]="","",Table1[[#This Row],[Engine Family Name:]])</f>
        <v/>
      </c>
      <c r="AB115" s="60" t="str">
        <f>IF(Table2[[#This Row],[Counter Number]]="","","ULSD")</f>
        <v/>
      </c>
      <c r="AC115" s="167" t="str">
        <f>IF(Table2[[#This Row],[Counter Number]]="","",Table2[[#This Row],[Annual Miles Traveled:]]/Table1[[#This Row],[Old Fuel (mpg)]])</f>
        <v/>
      </c>
      <c r="AD115" s="60" t="str">
        <f>IF(Table2[[#This Row],[Counter Number]]="","","NA")</f>
        <v/>
      </c>
      <c r="AE115" s="168" t="str">
        <f>IF(Table2[[#This Row],[Counter Number]]="","",Table1[[#This Row],[Annual Miles Traveled]])</f>
        <v/>
      </c>
      <c r="AF115" s="169" t="str">
        <f>IF(Table2[[#This Row],[Counter Number]]="","",Table1[[#This Row],[Annual Idling Hours:]])</f>
        <v/>
      </c>
      <c r="AG115" s="60" t="str">
        <f>IF(Table2[[#This Row],[Counter Number]]="","","NA")</f>
        <v/>
      </c>
      <c r="AH115" s="165" t="str">
        <f>IF(Table2[[#This Row],[Counter Number]]="","",IF(Application!$J$25="Set Policy",Table1[[#This Row],[Remaining Life (years)         Set Policy]],Table1[[#This Row],[Remaining Life (years)               Case-by-Case]]))</f>
        <v/>
      </c>
      <c r="AI115" s="165" t="str">
        <f>IF(Table2[[#This Row],[Counter Number]]="","",IF(Application!$J$25="Case-by-Case","NA",Table2[[#This Row],[Fiscal Year of EPA Funds Used:]]+Table2[[#This Row],[Remaining Life:]]))</f>
        <v/>
      </c>
      <c r="AJ115" s="165"/>
      <c r="AK115" s="170" t="str">
        <f>IF(Table2[[#This Row],[Counter Number]]="","",Application!$D$14+1)</f>
        <v/>
      </c>
      <c r="AL115" s="60" t="str">
        <f>IF(Table2[[#This Row],[Counter Number]]="","","Vehicle Replacement")</f>
        <v/>
      </c>
      <c r="AM11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5" s="171" t="str">
        <f>IF(Table2[[#This Row],[Counter Number]]="","",Table1[[#This Row],[Cost of New Bus:]])</f>
        <v/>
      </c>
      <c r="AO115" s="60" t="str">
        <f>IF(Table2[[#This Row],[Counter Number]]="","","NA")</f>
        <v/>
      </c>
      <c r="AP115" s="165" t="str">
        <f>IF(Table2[[#This Row],[Counter Number]]="","",Table1[[#This Row],[New Engine Model Year:]])</f>
        <v/>
      </c>
      <c r="AQ115" s="60" t="str">
        <f>IF(Table2[[#This Row],[Counter Number]]="","","NA")</f>
        <v/>
      </c>
      <c r="AR115" s="165" t="str">
        <f>IF(Table2[[#This Row],[Counter Number]]="","",Table1[[#This Row],[New Engine Horsepower (HP):]])</f>
        <v/>
      </c>
      <c r="AS115" s="60" t="str">
        <f>IF(Table2[[#This Row],[Counter Number]]="","","NA")</f>
        <v/>
      </c>
      <c r="AT115" s="165" t="str">
        <f>IF(Table2[[#This Row],[Counter Number]]="","",Table1[[#This Row],[New Engine Cylinder Displacement (L):]]&amp;" L")</f>
        <v/>
      </c>
      <c r="AU115" s="114" t="str">
        <f>IF(Table2[[#This Row],[Counter Number]]="","",Table1[[#This Row],[New Engine Number of Cylinders:]])</f>
        <v/>
      </c>
      <c r="AV115" s="60" t="str">
        <f>IF(Table2[[#This Row],[Counter Number]]="","",Table1[[#This Row],[New Engine Family Name:]])</f>
        <v/>
      </c>
      <c r="AW11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5" s="60" t="str">
        <f>IF(Table2[[#This Row],[Counter Number]]="","","NA")</f>
        <v/>
      </c>
      <c r="AY115" s="172" t="str">
        <f>IF(Table2[[#This Row],[Counter Number]]="","",IF(Table2[[#This Row],[New Engine Fuel Type:]]="ULSD",Table1[[#This Row],[Annual Miles Traveled]]/Table1[[#This Row],[New Fuel (mpg) if Diesel]],""))</f>
        <v/>
      </c>
      <c r="AZ115" s="60"/>
      <c r="BA115" s="173" t="str">
        <f>IF(Table2[[#This Row],[Counter Number]]="","",Table2[[#This Row],[Annual Miles Traveled:]]*VLOOKUP(Table2[[#This Row],[Engine Model Year:]],EFTable[],3,FALSE))</f>
        <v/>
      </c>
      <c r="BB115" s="173" t="str">
        <f>IF(Table2[[#This Row],[Counter Number]]="","",Table2[[#This Row],[Annual Miles Traveled:]]*IF(Table2[[#This Row],[New Engine Fuel Type:]]="ULSD",VLOOKUP(Table2[[#This Row],[New Engine Model Year:]],EFTable[],3,FALSE),VLOOKUP(Table2[[#This Row],[New Engine Fuel Type:]],EFTable[],3,FALSE)))</f>
        <v/>
      </c>
      <c r="BC115" s="187" t="str">
        <f>IF(Table2[[#This Row],[Counter Number]]="","",Table2[[#This Row],[Old Bus NOx Emissions (tons/yr)]]-Table2[[#This Row],[New Bus NOx Emissions (tons/yr)]])</f>
        <v/>
      </c>
      <c r="BD115" s="188" t="str">
        <f>IF(Table2[[#This Row],[Counter Number]]="","",Table2[[#This Row],[Reduction Bus NOx Emissions (tons/yr)]]/Table2[[#This Row],[Old Bus NOx Emissions (tons/yr)]])</f>
        <v/>
      </c>
      <c r="BE115" s="175" t="str">
        <f>IF(Table2[[#This Row],[Counter Number]]="","",Table2[[#This Row],[Reduction Bus NOx Emissions (tons/yr)]]*Table2[[#This Row],[Remaining Life:]])</f>
        <v/>
      </c>
      <c r="BF115" s="189" t="str">
        <f>IF(Table2[[#This Row],[Counter Number]]="","",IF(Table2[[#This Row],[Lifetime NOx Reduction (tons)]]=0,"NA",Table2[[#This Row],[Upgrade Cost Per Unit]]/Table2[[#This Row],[Lifetime NOx Reduction (tons)]]))</f>
        <v/>
      </c>
      <c r="BG115" s="190" t="str">
        <f>IF(Table2[[#This Row],[Counter Number]]="","",Table2[[#This Row],[Annual Miles Traveled:]]*VLOOKUP(Table2[[#This Row],[Engine Model Year:]],EF!$A$2:$G$27,4,FALSE))</f>
        <v/>
      </c>
      <c r="BH115" s="173" t="str">
        <f>IF(Table2[[#This Row],[Counter Number]]="","",Table2[[#This Row],[Annual Miles Traveled:]]*IF(Table2[[#This Row],[New Engine Fuel Type:]]="ULSD",VLOOKUP(Table2[[#This Row],[New Engine Model Year:]],EFTable[],4,FALSE),VLOOKUP(Table2[[#This Row],[New Engine Fuel Type:]],EFTable[],4,FALSE)))</f>
        <v/>
      </c>
      <c r="BI115" s="191" t="str">
        <f>IF(Table2[[#This Row],[Counter Number]]="","",Table2[[#This Row],[Old Bus PM2.5 Emissions (tons/yr)]]-Table2[[#This Row],[New Bus PM2.5 Emissions (tons/yr)]])</f>
        <v/>
      </c>
      <c r="BJ115" s="192" t="str">
        <f>IF(Table2[[#This Row],[Counter Number]]="","",Table2[[#This Row],[Reduction Bus PM2.5 Emissions (tons/yr)]]/Table2[[#This Row],[Old Bus PM2.5 Emissions (tons/yr)]])</f>
        <v/>
      </c>
      <c r="BK115" s="193" t="str">
        <f>IF(Table2[[#This Row],[Counter Number]]="","",Table2[[#This Row],[Reduction Bus PM2.5 Emissions (tons/yr)]]*Table2[[#This Row],[Remaining Life:]])</f>
        <v/>
      </c>
      <c r="BL115" s="194" t="str">
        <f>IF(Table2[[#This Row],[Counter Number]]="","",IF(Table2[[#This Row],[Lifetime PM2.5 Reduction (tons)]]=0,"NA",Table2[[#This Row],[Upgrade Cost Per Unit]]/Table2[[#This Row],[Lifetime PM2.5 Reduction (tons)]]))</f>
        <v/>
      </c>
      <c r="BM115" s="179" t="str">
        <f>IF(Table2[[#This Row],[Counter Number]]="","",Table2[[#This Row],[Annual Miles Traveled:]]*VLOOKUP(Table2[[#This Row],[Engine Model Year:]],EF!$A$2:$G$40,5,FALSE))</f>
        <v/>
      </c>
      <c r="BN115" s="173" t="str">
        <f>IF(Table2[[#This Row],[Counter Number]]="","",Table2[[#This Row],[Annual Miles Traveled:]]*IF(Table2[[#This Row],[New Engine Fuel Type:]]="ULSD",VLOOKUP(Table2[[#This Row],[New Engine Model Year:]],EFTable[],5,FALSE),VLOOKUP(Table2[[#This Row],[New Engine Fuel Type:]],EFTable[],5,FALSE)))</f>
        <v/>
      </c>
      <c r="BO115" s="190" t="str">
        <f>IF(Table2[[#This Row],[Counter Number]]="","",Table2[[#This Row],[Old Bus HC Emissions (tons/yr)]]-Table2[[#This Row],[New Bus HC Emissions (tons/yr)]])</f>
        <v/>
      </c>
      <c r="BP115" s="188" t="str">
        <f>IF(Table2[[#This Row],[Counter Number]]="","",Table2[[#This Row],[Reduction Bus HC Emissions (tons/yr)]]/Table2[[#This Row],[Old Bus HC Emissions (tons/yr)]])</f>
        <v/>
      </c>
      <c r="BQ115" s="193" t="str">
        <f>IF(Table2[[#This Row],[Counter Number]]="","",Table2[[#This Row],[Reduction Bus HC Emissions (tons/yr)]]*Table2[[#This Row],[Remaining Life:]])</f>
        <v/>
      </c>
      <c r="BR115" s="194" t="str">
        <f>IF(Table2[[#This Row],[Counter Number]]="","",IF(Table2[[#This Row],[Lifetime HC Reduction (tons)]]=0,"NA",Table2[[#This Row],[Upgrade Cost Per Unit]]/Table2[[#This Row],[Lifetime HC Reduction (tons)]]))</f>
        <v/>
      </c>
      <c r="BS115" s="191" t="str">
        <f>IF(Table2[[#This Row],[Counter Number]]="","",Table2[[#This Row],[Annual Miles Traveled:]]*VLOOKUP(Table2[[#This Row],[Engine Model Year:]],EF!$A$2:$G$27,6,FALSE))</f>
        <v/>
      </c>
      <c r="BT115" s="173" t="str">
        <f>IF(Table2[[#This Row],[Counter Number]]="","",Table2[[#This Row],[Annual Miles Traveled:]]*IF(Table2[[#This Row],[New Engine Fuel Type:]]="ULSD",VLOOKUP(Table2[[#This Row],[New Engine Model Year:]],EFTable[],6,FALSE),VLOOKUP(Table2[[#This Row],[New Engine Fuel Type:]],EFTable[],6,FALSE)))</f>
        <v/>
      </c>
      <c r="BU115" s="190" t="str">
        <f>IF(Table2[[#This Row],[Counter Number]]="","",Table2[[#This Row],[Old Bus CO Emissions (tons/yr)]]-Table2[[#This Row],[New Bus CO Emissions (tons/yr)]])</f>
        <v/>
      </c>
      <c r="BV115" s="188" t="str">
        <f>IF(Table2[[#This Row],[Counter Number]]="","",Table2[[#This Row],[Reduction Bus CO Emissions (tons/yr)]]/Table2[[#This Row],[Old Bus CO Emissions (tons/yr)]])</f>
        <v/>
      </c>
      <c r="BW115" s="193" t="str">
        <f>IF(Table2[[#This Row],[Counter Number]]="","",Table2[[#This Row],[Reduction Bus CO Emissions (tons/yr)]]*Table2[[#This Row],[Remaining Life:]])</f>
        <v/>
      </c>
      <c r="BX115" s="194" t="str">
        <f>IF(Table2[[#This Row],[Counter Number]]="","",IF(Table2[[#This Row],[Lifetime CO Reduction (tons)]]=0,"NA",Table2[[#This Row],[Upgrade Cost Per Unit]]/Table2[[#This Row],[Lifetime CO Reduction (tons)]]))</f>
        <v/>
      </c>
      <c r="BY115" s="180" t="str">
        <f>IF(Table2[[#This Row],[Counter Number]]="","",Table2[[#This Row],[Old ULSD Used (gal):]]*VLOOKUP(Table2[[#This Row],[Engine Model Year:]],EF!$A$2:$G$27,7,FALSE))</f>
        <v/>
      </c>
      <c r="BZ11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5" s="195" t="str">
        <f>IF(Table2[[#This Row],[Counter Number]]="","",Table2[[#This Row],[Old Bus CO2 Emissions (tons/yr)]]-Table2[[#This Row],[New Bus CO2 Emissions (tons/yr)]])</f>
        <v/>
      </c>
      <c r="CB115" s="188" t="str">
        <f>IF(Table2[[#This Row],[Counter Number]]="","",Table2[[#This Row],[Reduction Bus CO2 Emissions (tons/yr)]]/Table2[[#This Row],[Old Bus CO2 Emissions (tons/yr)]])</f>
        <v/>
      </c>
      <c r="CC115" s="195" t="str">
        <f>IF(Table2[[#This Row],[Counter Number]]="","",Table2[[#This Row],[Reduction Bus CO2 Emissions (tons/yr)]]*Table2[[#This Row],[Remaining Life:]])</f>
        <v/>
      </c>
      <c r="CD115" s="194" t="str">
        <f>IF(Table2[[#This Row],[Counter Number]]="","",IF(Table2[[#This Row],[Lifetime CO2 Reduction (tons)]]=0,"NA",Table2[[#This Row],[Upgrade Cost Per Unit]]/Table2[[#This Row],[Lifetime CO2 Reduction (tons)]]))</f>
        <v/>
      </c>
      <c r="CE115" s="182" t="str">
        <f>IF(Table2[[#This Row],[Counter Number]]="","",IF(Table2[[#This Row],[New ULSD Used (gal):]]="",Table2[[#This Row],[Old ULSD Used (gal):]],Table2[[#This Row],[Old ULSD Used (gal):]]-Table2[[#This Row],[New ULSD Used (gal):]]))</f>
        <v/>
      </c>
      <c r="CF115" s="196" t="str">
        <f>IF(Table2[[#This Row],[Counter Number]]="","",Table2[[#This Row],[Diesel Fuel Reduction (gal/yr)]]/Table2[[#This Row],[Old ULSD Used (gal):]])</f>
        <v/>
      </c>
      <c r="CG115" s="197" t="str">
        <f>IF(Table2[[#This Row],[Counter Number]]="","",Table2[[#This Row],[Diesel Fuel Reduction (gal/yr)]]*Table2[[#This Row],[Remaining Life:]])</f>
        <v/>
      </c>
    </row>
    <row r="116" spans="1:85">
      <c r="A116" s="184" t="str">
        <f>IF(A115&lt;Application!$D$24,A115+1,"")</f>
        <v/>
      </c>
      <c r="B116" s="60" t="str">
        <f>IF(Table2[[#This Row],[Counter Number]]="","",Application!$D$16)</f>
        <v/>
      </c>
      <c r="C116" s="60" t="str">
        <f>IF(Table2[[#This Row],[Counter Number]]="","",Application!$D$14)</f>
        <v/>
      </c>
      <c r="D116" s="60" t="str">
        <f>IF(Table2[[#This Row],[Counter Number]]="","",Table1[[#This Row],[Old Bus Number]])</f>
        <v/>
      </c>
      <c r="E116" s="60" t="str">
        <f>IF(Table2[[#This Row],[Counter Number]]="","",Application!$D$15)</f>
        <v/>
      </c>
      <c r="F116" s="60" t="str">
        <f>IF(Table2[[#This Row],[Counter Number]]="","","On Highway")</f>
        <v/>
      </c>
      <c r="G116" s="60" t="str">
        <f>IF(Table2[[#This Row],[Counter Number]]="","",I116)</f>
        <v/>
      </c>
      <c r="H116" s="60" t="str">
        <f>IF(Table2[[#This Row],[Counter Number]]="","","Georgia")</f>
        <v/>
      </c>
      <c r="I116" s="60" t="str">
        <f>IF(Table2[[#This Row],[Counter Number]]="","",Application!$D$16)</f>
        <v/>
      </c>
      <c r="J116" s="60" t="str">
        <f>IF(Table2[[#This Row],[Counter Number]]="","",Application!$D$21)</f>
        <v/>
      </c>
      <c r="K116" s="60" t="str">
        <f>IF(Table2[[#This Row],[Counter Number]]="","",Application!$J$21)</f>
        <v/>
      </c>
      <c r="L116" s="60" t="str">
        <f>IF(Table2[[#This Row],[Counter Number]]="","","School Bus")</f>
        <v/>
      </c>
      <c r="M116" s="60" t="str">
        <f>IF(Table2[[#This Row],[Counter Number]]="","","School Bus")</f>
        <v/>
      </c>
      <c r="N116" s="60" t="str">
        <f>IF(Table2[[#This Row],[Counter Number]]="","",1)</f>
        <v/>
      </c>
      <c r="O116" s="60" t="str">
        <f>IF(Table2[[#This Row],[Counter Number]]="","",Table1[[#This Row],[Vehicle Identification Number(s):]])</f>
        <v/>
      </c>
      <c r="P116" s="60" t="str">
        <f>IF(Table2[[#This Row],[Counter Number]]="","",Table1[[#This Row],[Old Bus Manufacturer:]])</f>
        <v/>
      </c>
      <c r="Q116" s="60" t="str">
        <f>IF(Table2[[#This Row],[Counter Number]]="","",Table1[[#This Row],[Vehicle Model:]])</f>
        <v/>
      </c>
      <c r="R116" s="165" t="str">
        <f>IF(Table2[[#This Row],[Counter Number]]="","",Table1[[#This Row],[Vehicle Model Year:]])</f>
        <v/>
      </c>
      <c r="S116" s="60" t="str">
        <f>IF(Table2[[#This Row],[Counter Number]]="","",Table1[[#This Row],[Engine Serial Number(s):]])</f>
        <v/>
      </c>
      <c r="T116" s="60" t="str">
        <f>IF(Table2[[#This Row],[Counter Number]]="","",Table1[[#This Row],[Engine Make:]])</f>
        <v/>
      </c>
      <c r="U116" s="60" t="str">
        <f>IF(Table2[[#This Row],[Counter Number]]="","",Table1[[#This Row],[Engine Model:]])</f>
        <v/>
      </c>
      <c r="V116" s="165" t="str">
        <f>IF(Table2[[#This Row],[Counter Number]]="","",Table1[[#This Row],[Engine Model Year:]])</f>
        <v/>
      </c>
      <c r="W116" s="60" t="str">
        <f>IF(Table2[[#This Row],[Counter Number]]="","","NA")</f>
        <v/>
      </c>
      <c r="X116" s="165" t="str">
        <f>IF(Table2[[#This Row],[Counter Number]]="","",Table1[[#This Row],[Engine Horsepower (HP):]])</f>
        <v/>
      </c>
      <c r="Y116" s="165" t="str">
        <f>IF(Table2[[#This Row],[Counter Number]]="","",Table1[[#This Row],[Engine Cylinder Displacement (L):]]&amp;" L")</f>
        <v/>
      </c>
      <c r="Z116" s="165" t="str">
        <f>IF(Table2[[#This Row],[Counter Number]]="","",Table1[[#This Row],[Engine Number of Cylinders:]])</f>
        <v/>
      </c>
      <c r="AA116" s="166" t="str">
        <f>IF(Table2[[#This Row],[Counter Number]]="","",Table1[[#This Row],[Engine Family Name:]])</f>
        <v/>
      </c>
      <c r="AB116" s="60" t="str">
        <f>IF(Table2[[#This Row],[Counter Number]]="","","ULSD")</f>
        <v/>
      </c>
      <c r="AC116" s="167" t="str">
        <f>IF(Table2[[#This Row],[Counter Number]]="","",Table2[[#This Row],[Annual Miles Traveled:]]/Table1[[#This Row],[Old Fuel (mpg)]])</f>
        <v/>
      </c>
      <c r="AD116" s="60" t="str">
        <f>IF(Table2[[#This Row],[Counter Number]]="","","NA")</f>
        <v/>
      </c>
      <c r="AE116" s="168" t="str">
        <f>IF(Table2[[#This Row],[Counter Number]]="","",Table1[[#This Row],[Annual Miles Traveled]])</f>
        <v/>
      </c>
      <c r="AF116" s="169" t="str">
        <f>IF(Table2[[#This Row],[Counter Number]]="","",Table1[[#This Row],[Annual Idling Hours:]])</f>
        <v/>
      </c>
      <c r="AG116" s="60" t="str">
        <f>IF(Table2[[#This Row],[Counter Number]]="","","NA")</f>
        <v/>
      </c>
      <c r="AH116" s="165" t="str">
        <f>IF(Table2[[#This Row],[Counter Number]]="","",IF(Application!$J$25="Set Policy",Table1[[#This Row],[Remaining Life (years)         Set Policy]],Table1[[#This Row],[Remaining Life (years)               Case-by-Case]]))</f>
        <v/>
      </c>
      <c r="AI116" s="165" t="str">
        <f>IF(Table2[[#This Row],[Counter Number]]="","",IF(Application!$J$25="Case-by-Case","NA",Table2[[#This Row],[Fiscal Year of EPA Funds Used:]]+Table2[[#This Row],[Remaining Life:]]))</f>
        <v/>
      </c>
      <c r="AJ116" s="165"/>
      <c r="AK116" s="170" t="str">
        <f>IF(Table2[[#This Row],[Counter Number]]="","",Application!$D$14+1)</f>
        <v/>
      </c>
      <c r="AL116" s="60" t="str">
        <f>IF(Table2[[#This Row],[Counter Number]]="","","Vehicle Replacement")</f>
        <v/>
      </c>
      <c r="AM11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6" s="171" t="str">
        <f>IF(Table2[[#This Row],[Counter Number]]="","",Table1[[#This Row],[Cost of New Bus:]])</f>
        <v/>
      </c>
      <c r="AO116" s="60" t="str">
        <f>IF(Table2[[#This Row],[Counter Number]]="","","NA")</f>
        <v/>
      </c>
      <c r="AP116" s="165" t="str">
        <f>IF(Table2[[#This Row],[Counter Number]]="","",Table1[[#This Row],[New Engine Model Year:]])</f>
        <v/>
      </c>
      <c r="AQ116" s="60" t="str">
        <f>IF(Table2[[#This Row],[Counter Number]]="","","NA")</f>
        <v/>
      </c>
      <c r="AR116" s="165" t="str">
        <f>IF(Table2[[#This Row],[Counter Number]]="","",Table1[[#This Row],[New Engine Horsepower (HP):]])</f>
        <v/>
      </c>
      <c r="AS116" s="60" t="str">
        <f>IF(Table2[[#This Row],[Counter Number]]="","","NA")</f>
        <v/>
      </c>
      <c r="AT116" s="165" t="str">
        <f>IF(Table2[[#This Row],[Counter Number]]="","",Table1[[#This Row],[New Engine Cylinder Displacement (L):]]&amp;" L")</f>
        <v/>
      </c>
      <c r="AU116" s="114" t="str">
        <f>IF(Table2[[#This Row],[Counter Number]]="","",Table1[[#This Row],[New Engine Number of Cylinders:]])</f>
        <v/>
      </c>
      <c r="AV116" s="60" t="str">
        <f>IF(Table2[[#This Row],[Counter Number]]="","",Table1[[#This Row],[New Engine Family Name:]])</f>
        <v/>
      </c>
      <c r="AW11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6" s="60" t="str">
        <f>IF(Table2[[#This Row],[Counter Number]]="","","NA")</f>
        <v/>
      </c>
      <c r="AY116" s="172" t="str">
        <f>IF(Table2[[#This Row],[Counter Number]]="","",IF(Table2[[#This Row],[New Engine Fuel Type:]]="ULSD",Table1[[#This Row],[Annual Miles Traveled]]/Table1[[#This Row],[New Fuel (mpg) if Diesel]],""))</f>
        <v/>
      </c>
      <c r="AZ116" s="60"/>
      <c r="BA116" s="173" t="str">
        <f>IF(Table2[[#This Row],[Counter Number]]="","",Table2[[#This Row],[Annual Miles Traveled:]]*VLOOKUP(Table2[[#This Row],[Engine Model Year:]],EFTable[],3,FALSE))</f>
        <v/>
      </c>
      <c r="BB116" s="173" t="str">
        <f>IF(Table2[[#This Row],[Counter Number]]="","",Table2[[#This Row],[Annual Miles Traveled:]]*IF(Table2[[#This Row],[New Engine Fuel Type:]]="ULSD",VLOOKUP(Table2[[#This Row],[New Engine Model Year:]],EFTable[],3,FALSE),VLOOKUP(Table2[[#This Row],[New Engine Fuel Type:]],EFTable[],3,FALSE)))</f>
        <v/>
      </c>
      <c r="BC116" s="187" t="str">
        <f>IF(Table2[[#This Row],[Counter Number]]="","",Table2[[#This Row],[Old Bus NOx Emissions (tons/yr)]]-Table2[[#This Row],[New Bus NOx Emissions (tons/yr)]])</f>
        <v/>
      </c>
      <c r="BD116" s="188" t="str">
        <f>IF(Table2[[#This Row],[Counter Number]]="","",Table2[[#This Row],[Reduction Bus NOx Emissions (tons/yr)]]/Table2[[#This Row],[Old Bus NOx Emissions (tons/yr)]])</f>
        <v/>
      </c>
      <c r="BE116" s="175" t="str">
        <f>IF(Table2[[#This Row],[Counter Number]]="","",Table2[[#This Row],[Reduction Bus NOx Emissions (tons/yr)]]*Table2[[#This Row],[Remaining Life:]])</f>
        <v/>
      </c>
      <c r="BF116" s="189" t="str">
        <f>IF(Table2[[#This Row],[Counter Number]]="","",IF(Table2[[#This Row],[Lifetime NOx Reduction (tons)]]=0,"NA",Table2[[#This Row],[Upgrade Cost Per Unit]]/Table2[[#This Row],[Lifetime NOx Reduction (tons)]]))</f>
        <v/>
      </c>
      <c r="BG116" s="190" t="str">
        <f>IF(Table2[[#This Row],[Counter Number]]="","",Table2[[#This Row],[Annual Miles Traveled:]]*VLOOKUP(Table2[[#This Row],[Engine Model Year:]],EF!$A$2:$G$27,4,FALSE))</f>
        <v/>
      </c>
      <c r="BH116" s="173" t="str">
        <f>IF(Table2[[#This Row],[Counter Number]]="","",Table2[[#This Row],[Annual Miles Traveled:]]*IF(Table2[[#This Row],[New Engine Fuel Type:]]="ULSD",VLOOKUP(Table2[[#This Row],[New Engine Model Year:]],EFTable[],4,FALSE),VLOOKUP(Table2[[#This Row],[New Engine Fuel Type:]],EFTable[],4,FALSE)))</f>
        <v/>
      </c>
      <c r="BI116" s="191" t="str">
        <f>IF(Table2[[#This Row],[Counter Number]]="","",Table2[[#This Row],[Old Bus PM2.5 Emissions (tons/yr)]]-Table2[[#This Row],[New Bus PM2.5 Emissions (tons/yr)]])</f>
        <v/>
      </c>
      <c r="BJ116" s="192" t="str">
        <f>IF(Table2[[#This Row],[Counter Number]]="","",Table2[[#This Row],[Reduction Bus PM2.5 Emissions (tons/yr)]]/Table2[[#This Row],[Old Bus PM2.5 Emissions (tons/yr)]])</f>
        <v/>
      </c>
      <c r="BK116" s="193" t="str">
        <f>IF(Table2[[#This Row],[Counter Number]]="","",Table2[[#This Row],[Reduction Bus PM2.5 Emissions (tons/yr)]]*Table2[[#This Row],[Remaining Life:]])</f>
        <v/>
      </c>
      <c r="BL116" s="194" t="str">
        <f>IF(Table2[[#This Row],[Counter Number]]="","",IF(Table2[[#This Row],[Lifetime PM2.5 Reduction (tons)]]=0,"NA",Table2[[#This Row],[Upgrade Cost Per Unit]]/Table2[[#This Row],[Lifetime PM2.5 Reduction (tons)]]))</f>
        <v/>
      </c>
      <c r="BM116" s="179" t="str">
        <f>IF(Table2[[#This Row],[Counter Number]]="","",Table2[[#This Row],[Annual Miles Traveled:]]*VLOOKUP(Table2[[#This Row],[Engine Model Year:]],EF!$A$2:$G$40,5,FALSE))</f>
        <v/>
      </c>
      <c r="BN116" s="173" t="str">
        <f>IF(Table2[[#This Row],[Counter Number]]="","",Table2[[#This Row],[Annual Miles Traveled:]]*IF(Table2[[#This Row],[New Engine Fuel Type:]]="ULSD",VLOOKUP(Table2[[#This Row],[New Engine Model Year:]],EFTable[],5,FALSE),VLOOKUP(Table2[[#This Row],[New Engine Fuel Type:]],EFTable[],5,FALSE)))</f>
        <v/>
      </c>
      <c r="BO116" s="190" t="str">
        <f>IF(Table2[[#This Row],[Counter Number]]="","",Table2[[#This Row],[Old Bus HC Emissions (tons/yr)]]-Table2[[#This Row],[New Bus HC Emissions (tons/yr)]])</f>
        <v/>
      </c>
      <c r="BP116" s="188" t="str">
        <f>IF(Table2[[#This Row],[Counter Number]]="","",Table2[[#This Row],[Reduction Bus HC Emissions (tons/yr)]]/Table2[[#This Row],[Old Bus HC Emissions (tons/yr)]])</f>
        <v/>
      </c>
      <c r="BQ116" s="193" t="str">
        <f>IF(Table2[[#This Row],[Counter Number]]="","",Table2[[#This Row],[Reduction Bus HC Emissions (tons/yr)]]*Table2[[#This Row],[Remaining Life:]])</f>
        <v/>
      </c>
      <c r="BR116" s="194" t="str">
        <f>IF(Table2[[#This Row],[Counter Number]]="","",IF(Table2[[#This Row],[Lifetime HC Reduction (tons)]]=0,"NA",Table2[[#This Row],[Upgrade Cost Per Unit]]/Table2[[#This Row],[Lifetime HC Reduction (tons)]]))</f>
        <v/>
      </c>
      <c r="BS116" s="191" t="str">
        <f>IF(Table2[[#This Row],[Counter Number]]="","",Table2[[#This Row],[Annual Miles Traveled:]]*VLOOKUP(Table2[[#This Row],[Engine Model Year:]],EF!$A$2:$G$27,6,FALSE))</f>
        <v/>
      </c>
      <c r="BT116" s="173" t="str">
        <f>IF(Table2[[#This Row],[Counter Number]]="","",Table2[[#This Row],[Annual Miles Traveled:]]*IF(Table2[[#This Row],[New Engine Fuel Type:]]="ULSD",VLOOKUP(Table2[[#This Row],[New Engine Model Year:]],EFTable[],6,FALSE),VLOOKUP(Table2[[#This Row],[New Engine Fuel Type:]],EFTable[],6,FALSE)))</f>
        <v/>
      </c>
      <c r="BU116" s="190" t="str">
        <f>IF(Table2[[#This Row],[Counter Number]]="","",Table2[[#This Row],[Old Bus CO Emissions (tons/yr)]]-Table2[[#This Row],[New Bus CO Emissions (tons/yr)]])</f>
        <v/>
      </c>
      <c r="BV116" s="188" t="str">
        <f>IF(Table2[[#This Row],[Counter Number]]="","",Table2[[#This Row],[Reduction Bus CO Emissions (tons/yr)]]/Table2[[#This Row],[Old Bus CO Emissions (tons/yr)]])</f>
        <v/>
      </c>
      <c r="BW116" s="193" t="str">
        <f>IF(Table2[[#This Row],[Counter Number]]="","",Table2[[#This Row],[Reduction Bus CO Emissions (tons/yr)]]*Table2[[#This Row],[Remaining Life:]])</f>
        <v/>
      </c>
      <c r="BX116" s="194" t="str">
        <f>IF(Table2[[#This Row],[Counter Number]]="","",IF(Table2[[#This Row],[Lifetime CO Reduction (tons)]]=0,"NA",Table2[[#This Row],[Upgrade Cost Per Unit]]/Table2[[#This Row],[Lifetime CO Reduction (tons)]]))</f>
        <v/>
      </c>
      <c r="BY116" s="180" t="str">
        <f>IF(Table2[[#This Row],[Counter Number]]="","",Table2[[#This Row],[Old ULSD Used (gal):]]*VLOOKUP(Table2[[#This Row],[Engine Model Year:]],EF!$A$2:$G$27,7,FALSE))</f>
        <v/>
      </c>
      <c r="BZ11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6" s="195" t="str">
        <f>IF(Table2[[#This Row],[Counter Number]]="","",Table2[[#This Row],[Old Bus CO2 Emissions (tons/yr)]]-Table2[[#This Row],[New Bus CO2 Emissions (tons/yr)]])</f>
        <v/>
      </c>
      <c r="CB116" s="188" t="str">
        <f>IF(Table2[[#This Row],[Counter Number]]="","",Table2[[#This Row],[Reduction Bus CO2 Emissions (tons/yr)]]/Table2[[#This Row],[Old Bus CO2 Emissions (tons/yr)]])</f>
        <v/>
      </c>
      <c r="CC116" s="195" t="str">
        <f>IF(Table2[[#This Row],[Counter Number]]="","",Table2[[#This Row],[Reduction Bus CO2 Emissions (tons/yr)]]*Table2[[#This Row],[Remaining Life:]])</f>
        <v/>
      </c>
      <c r="CD116" s="194" t="str">
        <f>IF(Table2[[#This Row],[Counter Number]]="","",IF(Table2[[#This Row],[Lifetime CO2 Reduction (tons)]]=0,"NA",Table2[[#This Row],[Upgrade Cost Per Unit]]/Table2[[#This Row],[Lifetime CO2 Reduction (tons)]]))</f>
        <v/>
      </c>
      <c r="CE116" s="182" t="str">
        <f>IF(Table2[[#This Row],[Counter Number]]="","",IF(Table2[[#This Row],[New ULSD Used (gal):]]="",Table2[[#This Row],[Old ULSD Used (gal):]],Table2[[#This Row],[Old ULSD Used (gal):]]-Table2[[#This Row],[New ULSD Used (gal):]]))</f>
        <v/>
      </c>
      <c r="CF116" s="196" t="str">
        <f>IF(Table2[[#This Row],[Counter Number]]="","",Table2[[#This Row],[Diesel Fuel Reduction (gal/yr)]]/Table2[[#This Row],[Old ULSD Used (gal):]])</f>
        <v/>
      </c>
      <c r="CG116" s="197" t="str">
        <f>IF(Table2[[#This Row],[Counter Number]]="","",Table2[[#This Row],[Diesel Fuel Reduction (gal/yr)]]*Table2[[#This Row],[Remaining Life:]])</f>
        <v/>
      </c>
    </row>
    <row r="117" spans="1:85">
      <c r="A117" s="184" t="str">
        <f>IF(A116&lt;Application!$D$24,A116+1,"")</f>
        <v/>
      </c>
      <c r="B117" s="60" t="str">
        <f>IF(Table2[[#This Row],[Counter Number]]="","",Application!$D$16)</f>
        <v/>
      </c>
      <c r="C117" s="60" t="str">
        <f>IF(Table2[[#This Row],[Counter Number]]="","",Application!$D$14)</f>
        <v/>
      </c>
      <c r="D117" s="60" t="str">
        <f>IF(Table2[[#This Row],[Counter Number]]="","",Table1[[#This Row],[Old Bus Number]])</f>
        <v/>
      </c>
      <c r="E117" s="60" t="str">
        <f>IF(Table2[[#This Row],[Counter Number]]="","",Application!$D$15)</f>
        <v/>
      </c>
      <c r="F117" s="60" t="str">
        <f>IF(Table2[[#This Row],[Counter Number]]="","","On Highway")</f>
        <v/>
      </c>
      <c r="G117" s="60" t="str">
        <f>IF(Table2[[#This Row],[Counter Number]]="","",I117)</f>
        <v/>
      </c>
      <c r="H117" s="60" t="str">
        <f>IF(Table2[[#This Row],[Counter Number]]="","","Georgia")</f>
        <v/>
      </c>
      <c r="I117" s="60" t="str">
        <f>IF(Table2[[#This Row],[Counter Number]]="","",Application!$D$16)</f>
        <v/>
      </c>
      <c r="J117" s="60" t="str">
        <f>IF(Table2[[#This Row],[Counter Number]]="","",Application!$D$21)</f>
        <v/>
      </c>
      <c r="K117" s="60" t="str">
        <f>IF(Table2[[#This Row],[Counter Number]]="","",Application!$J$21)</f>
        <v/>
      </c>
      <c r="L117" s="60" t="str">
        <f>IF(Table2[[#This Row],[Counter Number]]="","","School Bus")</f>
        <v/>
      </c>
      <c r="M117" s="60" t="str">
        <f>IF(Table2[[#This Row],[Counter Number]]="","","School Bus")</f>
        <v/>
      </c>
      <c r="N117" s="60" t="str">
        <f>IF(Table2[[#This Row],[Counter Number]]="","",1)</f>
        <v/>
      </c>
      <c r="O117" s="60" t="str">
        <f>IF(Table2[[#This Row],[Counter Number]]="","",Table1[[#This Row],[Vehicle Identification Number(s):]])</f>
        <v/>
      </c>
      <c r="P117" s="60" t="str">
        <f>IF(Table2[[#This Row],[Counter Number]]="","",Table1[[#This Row],[Old Bus Manufacturer:]])</f>
        <v/>
      </c>
      <c r="Q117" s="60" t="str">
        <f>IF(Table2[[#This Row],[Counter Number]]="","",Table1[[#This Row],[Vehicle Model:]])</f>
        <v/>
      </c>
      <c r="R117" s="165" t="str">
        <f>IF(Table2[[#This Row],[Counter Number]]="","",Table1[[#This Row],[Vehicle Model Year:]])</f>
        <v/>
      </c>
      <c r="S117" s="60" t="str">
        <f>IF(Table2[[#This Row],[Counter Number]]="","",Table1[[#This Row],[Engine Serial Number(s):]])</f>
        <v/>
      </c>
      <c r="T117" s="60" t="str">
        <f>IF(Table2[[#This Row],[Counter Number]]="","",Table1[[#This Row],[Engine Make:]])</f>
        <v/>
      </c>
      <c r="U117" s="60" t="str">
        <f>IF(Table2[[#This Row],[Counter Number]]="","",Table1[[#This Row],[Engine Model:]])</f>
        <v/>
      </c>
      <c r="V117" s="165" t="str">
        <f>IF(Table2[[#This Row],[Counter Number]]="","",Table1[[#This Row],[Engine Model Year:]])</f>
        <v/>
      </c>
      <c r="W117" s="60" t="str">
        <f>IF(Table2[[#This Row],[Counter Number]]="","","NA")</f>
        <v/>
      </c>
      <c r="X117" s="165" t="str">
        <f>IF(Table2[[#This Row],[Counter Number]]="","",Table1[[#This Row],[Engine Horsepower (HP):]])</f>
        <v/>
      </c>
      <c r="Y117" s="165" t="str">
        <f>IF(Table2[[#This Row],[Counter Number]]="","",Table1[[#This Row],[Engine Cylinder Displacement (L):]]&amp;" L")</f>
        <v/>
      </c>
      <c r="Z117" s="165" t="str">
        <f>IF(Table2[[#This Row],[Counter Number]]="","",Table1[[#This Row],[Engine Number of Cylinders:]])</f>
        <v/>
      </c>
      <c r="AA117" s="166" t="str">
        <f>IF(Table2[[#This Row],[Counter Number]]="","",Table1[[#This Row],[Engine Family Name:]])</f>
        <v/>
      </c>
      <c r="AB117" s="60" t="str">
        <f>IF(Table2[[#This Row],[Counter Number]]="","","ULSD")</f>
        <v/>
      </c>
      <c r="AC117" s="167" t="str">
        <f>IF(Table2[[#This Row],[Counter Number]]="","",Table2[[#This Row],[Annual Miles Traveled:]]/Table1[[#This Row],[Old Fuel (mpg)]])</f>
        <v/>
      </c>
      <c r="AD117" s="60" t="str">
        <f>IF(Table2[[#This Row],[Counter Number]]="","","NA")</f>
        <v/>
      </c>
      <c r="AE117" s="168" t="str">
        <f>IF(Table2[[#This Row],[Counter Number]]="","",Table1[[#This Row],[Annual Miles Traveled]])</f>
        <v/>
      </c>
      <c r="AF117" s="169" t="str">
        <f>IF(Table2[[#This Row],[Counter Number]]="","",Table1[[#This Row],[Annual Idling Hours:]])</f>
        <v/>
      </c>
      <c r="AG117" s="60" t="str">
        <f>IF(Table2[[#This Row],[Counter Number]]="","","NA")</f>
        <v/>
      </c>
      <c r="AH117" s="165" t="str">
        <f>IF(Table2[[#This Row],[Counter Number]]="","",IF(Application!$J$25="Set Policy",Table1[[#This Row],[Remaining Life (years)         Set Policy]],Table1[[#This Row],[Remaining Life (years)               Case-by-Case]]))</f>
        <v/>
      </c>
      <c r="AI117" s="165" t="str">
        <f>IF(Table2[[#This Row],[Counter Number]]="","",IF(Application!$J$25="Case-by-Case","NA",Table2[[#This Row],[Fiscal Year of EPA Funds Used:]]+Table2[[#This Row],[Remaining Life:]]))</f>
        <v/>
      </c>
      <c r="AJ117" s="165"/>
      <c r="AK117" s="170" t="str">
        <f>IF(Table2[[#This Row],[Counter Number]]="","",Application!$D$14+1)</f>
        <v/>
      </c>
      <c r="AL117" s="60" t="str">
        <f>IF(Table2[[#This Row],[Counter Number]]="","","Vehicle Replacement")</f>
        <v/>
      </c>
      <c r="AM11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7" s="171" t="str">
        <f>IF(Table2[[#This Row],[Counter Number]]="","",Table1[[#This Row],[Cost of New Bus:]])</f>
        <v/>
      </c>
      <c r="AO117" s="60" t="str">
        <f>IF(Table2[[#This Row],[Counter Number]]="","","NA")</f>
        <v/>
      </c>
      <c r="AP117" s="165" t="str">
        <f>IF(Table2[[#This Row],[Counter Number]]="","",Table1[[#This Row],[New Engine Model Year:]])</f>
        <v/>
      </c>
      <c r="AQ117" s="60" t="str">
        <f>IF(Table2[[#This Row],[Counter Number]]="","","NA")</f>
        <v/>
      </c>
      <c r="AR117" s="165" t="str">
        <f>IF(Table2[[#This Row],[Counter Number]]="","",Table1[[#This Row],[New Engine Horsepower (HP):]])</f>
        <v/>
      </c>
      <c r="AS117" s="60" t="str">
        <f>IF(Table2[[#This Row],[Counter Number]]="","","NA")</f>
        <v/>
      </c>
      <c r="AT117" s="165" t="str">
        <f>IF(Table2[[#This Row],[Counter Number]]="","",Table1[[#This Row],[New Engine Cylinder Displacement (L):]]&amp;" L")</f>
        <v/>
      </c>
      <c r="AU117" s="114" t="str">
        <f>IF(Table2[[#This Row],[Counter Number]]="","",Table1[[#This Row],[New Engine Number of Cylinders:]])</f>
        <v/>
      </c>
      <c r="AV117" s="60" t="str">
        <f>IF(Table2[[#This Row],[Counter Number]]="","",Table1[[#This Row],[New Engine Family Name:]])</f>
        <v/>
      </c>
      <c r="AW11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7" s="60" t="str">
        <f>IF(Table2[[#This Row],[Counter Number]]="","","NA")</f>
        <v/>
      </c>
      <c r="AY117" s="172" t="str">
        <f>IF(Table2[[#This Row],[Counter Number]]="","",IF(Table2[[#This Row],[New Engine Fuel Type:]]="ULSD",Table1[[#This Row],[Annual Miles Traveled]]/Table1[[#This Row],[New Fuel (mpg) if Diesel]],""))</f>
        <v/>
      </c>
      <c r="AZ117" s="60"/>
      <c r="BA117" s="173" t="str">
        <f>IF(Table2[[#This Row],[Counter Number]]="","",Table2[[#This Row],[Annual Miles Traveled:]]*VLOOKUP(Table2[[#This Row],[Engine Model Year:]],EFTable[],3,FALSE))</f>
        <v/>
      </c>
      <c r="BB117" s="173" t="str">
        <f>IF(Table2[[#This Row],[Counter Number]]="","",Table2[[#This Row],[Annual Miles Traveled:]]*IF(Table2[[#This Row],[New Engine Fuel Type:]]="ULSD",VLOOKUP(Table2[[#This Row],[New Engine Model Year:]],EFTable[],3,FALSE),VLOOKUP(Table2[[#This Row],[New Engine Fuel Type:]],EFTable[],3,FALSE)))</f>
        <v/>
      </c>
      <c r="BC117" s="187" t="str">
        <f>IF(Table2[[#This Row],[Counter Number]]="","",Table2[[#This Row],[Old Bus NOx Emissions (tons/yr)]]-Table2[[#This Row],[New Bus NOx Emissions (tons/yr)]])</f>
        <v/>
      </c>
      <c r="BD117" s="188" t="str">
        <f>IF(Table2[[#This Row],[Counter Number]]="","",Table2[[#This Row],[Reduction Bus NOx Emissions (tons/yr)]]/Table2[[#This Row],[Old Bus NOx Emissions (tons/yr)]])</f>
        <v/>
      </c>
      <c r="BE117" s="175" t="str">
        <f>IF(Table2[[#This Row],[Counter Number]]="","",Table2[[#This Row],[Reduction Bus NOx Emissions (tons/yr)]]*Table2[[#This Row],[Remaining Life:]])</f>
        <v/>
      </c>
      <c r="BF117" s="189" t="str">
        <f>IF(Table2[[#This Row],[Counter Number]]="","",IF(Table2[[#This Row],[Lifetime NOx Reduction (tons)]]=0,"NA",Table2[[#This Row],[Upgrade Cost Per Unit]]/Table2[[#This Row],[Lifetime NOx Reduction (tons)]]))</f>
        <v/>
      </c>
      <c r="BG117" s="190" t="str">
        <f>IF(Table2[[#This Row],[Counter Number]]="","",Table2[[#This Row],[Annual Miles Traveled:]]*VLOOKUP(Table2[[#This Row],[Engine Model Year:]],EF!$A$2:$G$27,4,FALSE))</f>
        <v/>
      </c>
      <c r="BH117" s="173" t="str">
        <f>IF(Table2[[#This Row],[Counter Number]]="","",Table2[[#This Row],[Annual Miles Traveled:]]*IF(Table2[[#This Row],[New Engine Fuel Type:]]="ULSD",VLOOKUP(Table2[[#This Row],[New Engine Model Year:]],EFTable[],4,FALSE),VLOOKUP(Table2[[#This Row],[New Engine Fuel Type:]],EFTable[],4,FALSE)))</f>
        <v/>
      </c>
      <c r="BI117" s="191" t="str">
        <f>IF(Table2[[#This Row],[Counter Number]]="","",Table2[[#This Row],[Old Bus PM2.5 Emissions (tons/yr)]]-Table2[[#This Row],[New Bus PM2.5 Emissions (tons/yr)]])</f>
        <v/>
      </c>
      <c r="BJ117" s="192" t="str">
        <f>IF(Table2[[#This Row],[Counter Number]]="","",Table2[[#This Row],[Reduction Bus PM2.5 Emissions (tons/yr)]]/Table2[[#This Row],[Old Bus PM2.5 Emissions (tons/yr)]])</f>
        <v/>
      </c>
      <c r="BK117" s="193" t="str">
        <f>IF(Table2[[#This Row],[Counter Number]]="","",Table2[[#This Row],[Reduction Bus PM2.5 Emissions (tons/yr)]]*Table2[[#This Row],[Remaining Life:]])</f>
        <v/>
      </c>
      <c r="BL117" s="194" t="str">
        <f>IF(Table2[[#This Row],[Counter Number]]="","",IF(Table2[[#This Row],[Lifetime PM2.5 Reduction (tons)]]=0,"NA",Table2[[#This Row],[Upgrade Cost Per Unit]]/Table2[[#This Row],[Lifetime PM2.5 Reduction (tons)]]))</f>
        <v/>
      </c>
      <c r="BM117" s="179" t="str">
        <f>IF(Table2[[#This Row],[Counter Number]]="","",Table2[[#This Row],[Annual Miles Traveled:]]*VLOOKUP(Table2[[#This Row],[Engine Model Year:]],EF!$A$2:$G$40,5,FALSE))</f>
        <v/>
      </c>
      <c r="BN117" s="173" t="str">
        <f>IF(Table2[[#This Row],[Counter Number]]="","",Table2[[#This Row],[Annual Miles Traveled:]]*IF(Table2[[#This Row],[New Engine Fuel Type:]]="ULSD",VLOOKUP(Table2[[#This Row],[New Engine Model Year:]],EFTable[],5,FALSE),VLOOKUP(Table2[[#This Row],[New Engine Fuel Type:]],EFTable[],5,FALSE)))</f>
        <v/>
      </c>
      <c r="BO117" s="190" t="str">
        <f>IF(Table2[[#This Row],[Counter Number]]="","",Table2[[#This Row],[Old Bus HC Emissions (tons/yr)]]-Table2[[#This Row],[New Bus HC Emissions (tons/yr)]])</f>
        <v/>
      </c>
      <c r="BP117" s="188" t="str">
        <f>IF(Table2[[#This Row],[Counter Number]]="","",Table2[[#This Row],[Reduction Bus HC Emissions (tons/yr)]]/Table2[[#This Row],[Old Bus HC Emissions (tons/yr)]])</f>
        <v/>
      </c>
      <c r="BQ117" s="193" t="str">
        <f>IF(Table2[[#This Row],[Counter Number]]="","",Table2[[#This Row],[Reduction Bus HC Emissions (tons/yr)]]*Table2[[#This Row],[Remaining Life:]])</f>
        <v/>
      </c>
      <c r="BR117" s="194" t="str">
        <f>IF(Table2[[#This Row],[Counter Number]]="","",IF(Table2[[#This Row],[Lifetime HC Reduction (tons)]]=0,"NA",Table2[[#This Row],[Upgrade Cost Per Unit]]/Table2[[#This Row],[Lifetime HC Reduction (tons)]]))</f>
        <v/>
      </c>
      <c r="BS117" s="191" t="str">
        <f>IF(Table2[[#This Row],[Counter Number]]="","",Table2[[#This Row],[Annual Miles Traveled:]]*VLOOKUP(Table2[[#This Row],[Engine Model Year:]],EF!$A$2:$G$27,6,FALSE))</f>
        <v/>
      </c>
      <c r="BT117" s="173" t="str">
        <f>IF(Table2[[#This Row],[Counter Number]]="","",Table2[[#This Row],[Annual Miles Traveled:]]*IF(Table2[[#This Row],[New Engine Fuel Type:]]="ULSD",VLOOKUP(Table2[[#This Row],[New Engine Model Year:]],EFTable[],6,FALSE),VLOOKUP(Table2[[#This Row],[New Engine Fuel Type:]],EFTable[],6,FALSE)))</f>
        <v/>
      </c>
      <c r="BU117" s="190" t="str">
        <f>IF(Table2[[#This Row],[Counter Number]]="","",Table2[[#This Row],[Old Bus CO Emissions (tons/yr)]]-Table2[[#This Row],[New Bus CO Emissions (tons/yr)]])</f>
        <v/>
      </c>
      <c r="BV117" s="188" t="str">
        <f>IF(Table2[[#This Row],[Counter Number]]="","",Table2[[#This Row],[Reduction Bus CO Emissions (tons/yr)]]/Table2[[#This Row],[Old Bus CO Emissions (tons/yr)]])</f>
        <v/>
      </c>
      <c r="BW117" s="193" t="str">
        <f>IF(Table2[[#This Row],[Counter Number]]="","",Table2[[#This Row],[Reduction Bus CO Emissions (tons/yr)]]*Table2[[#This Row],[Remaining Life:]])</f>
        <v/>
      </c>
      <c r="BX117" s="194" t="str">
        <f>IF(Table2[[#This Row],[Counter Number]]="","",IF(Table2[[#This Row],[Lifetime CO Reduction (tons)]]=0,"NA",Table2[[#This Row],[Upgrade Cost Per Unit]]/Table2[[#This Row],[Lifetime CO Reduction (tons)]]))</f>
        <v/>
      </c>
      <c r="BY117" s="180" t="str">
        <f>IF(Table2[[#This Row],[Counter Number]]="","",Table2[[#This Row],[Old ULSD Used (gal):]]*VLOOKUP(Table2[[#This Row],[Engine Model Year:]],EF!$A$2:$G$27,7,FALSE))</f>
        <v/>
      </c>
      <c r="BZ11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7" s="195" t="str">
        <f>IF(Table2[[#This Row],[Counter Number]]="","",Table2[[#This Row],[Old Bus CO2 Emissions (tons/yr)]]-Table2[[#This Row],[New Bus CO2 Emissions (tons/yr)]])</f>
        <v/>
      </c>
      <c r="CB117" s="188" t="str">
        <f>IF(Table2[[#This Row],[Counter Number]]="","",Table2[[#This Row],[Reduction Bus CO2 Emissions (tons/yr)]]/Table2[[#This Row],[Old Bus CO2 Emissions (tons/yr)]])</f>
        <v/>
      </c>
      <c r="CC117" s="195" t="str">
        <f>IF(Table2[[#This Row],[Counter Number]]="","",Table2[[#This Row],[Reduction Bus CO2 Emissions (tons/yr)]]*Table2[[#This Row],[Remaining Life:]])</f>
        <v/>
      </c>
      <c r="CD117" s="194" t="str">
        <f>IF(Table2[[#This Row],[Counter Number]]="","",IF(Table2[[#This Row],[Lifetime CO2 Reduction (tons)]]=0,"NA",Table2[[#This Row],[Upgrade Cost Per Unit]]/Table2[[#This Row],[Lifetime CO2 Reduction (tons)]]))</f>
        <v/>
      </c>
      <c r="CE117" s="182" t="str">
        <f>IF(Table2[[#This Row],[Counter Number]]="","",IF(Table2[[#This Row],[New ULSD Used (gal):]]="",Table2[[#This Row],[Old ULSD Used (gal):]],Table2[[#This Row],[Old ULSD Used (gal):]]-Table2[[#This Row],[New ULSD Used (gal):]]))</f>
        <v/>
      </c>
      <c r="CF117" s="196" t="str">
        <f>IF(Table2[[#This Row],[Counter Number]]="","",Table2[[#This Row],[Diesel Fuel Reduction (gal/yr)]]/Table2[[#This Row],[Old ULSD Used (gal):]])</f>
        <v/>
      </c>
      <c r="CG117" s="197" t="str">
        <f>IF(Table2[[#This Row],[Counter Number]]="","",Table2[[#This Row],[Diesel Fuel Reduction (gal/yr)]]*Table2[[#This Row],[Remaining Life:]])</f>
        <v/>
      </c>
    </row>
    <row r="118" spans="1:85">
      <c r="A118" s="184" t="str">
        <f>IF(A117&lt;Application!$D$24,A117+1,"")</f>
        <v/>
      </c>
      <c r="B118" s="60" t="str">
        <f>IF(Table2[[#This Row],[Counter Number]]="","",Application!$D$16)</f>
        <v/>
      </c>
      <c r="C118" s="60" t="str">
        <f>IF(Table2[[#This Row],[Counter Number]]="","",Application!$D$14)</f>
        <v/>
      </c>
      <c r="D118" s="60" t="str">
        <f>IF(Table2[[#This Row],[Counter Number]]="","",Table1[[#This Row],[Old Bus Number]])</f>
        <v/>
      </c>
      <c r="E118" s="60" t="str">
        <f>IF(Table2[[#This Row],[Counter Number]]="","",Application!$D$15)</f>
        <v/>
      </c>
      <c r="F118" s="60" t="str">
        <f>IF(Table2[[#This Row],[Counter Number]]="","","On Highway")</f>
        <v/>
      </c>
      <c r="G118" s="60" t="str">
        <f>IF(Table2[[#This Row],[Counter Number]]="","",I118)</f>
        <v/>
      </c>
      <c r="H118" s="60" t="str">
        <f>IF(Table2[[#This Row],[Counter Number]]="","","Georgia")</f>
        <v/>
      </c>
      <c r="I118" s="60" t="str">
        <f>IF(Table2[[#This Row],[Counter Number]]="","",Application!$D$16)</f>
        <v/>
      </c>
      <c r="J118" s="60" t="str">
        <f>IF(Table2[[#This Row],[Counter Number]]="","",Application!$D$21)</f>
        <v/>
      </c>
      <c r="K118" s="60" t="str">
        <f>IF(Table2[[#This Row],[Counter Number]]="","",Application!$J$21)</f>
        <v/>
      </c>
      <c r="L118" s="60" t="str">
        <f>IF(Table2[[#This Row],[Counter Number]]="","","School Bus")</f>
        <v/>
      </c>
      <c r="M118" s="60" t="str">
        <f>IF(Table2[[#This Row],[Counter Number]]="","","School Bus")</f>
        <v/>
      </c>
      <c r="N118" s="60" t="str">
        <f>IF(Table2[[#This Row],[Counter Number]]="","",1)</f>
        <v/>
      </c>
      <c r="O118" s="60" t="str">
        <f>IF(Table2[[#This Row],[Counter Number]]="","",Table1[[#This Row],[Vehicle Identification Number(s):]])</f>
        <v/>
      </c>
      <c r="P118" s="60" t="str">
        <f>IF(Table2[[#This Row],[Counter Number]]="","",Table1[[#This Row],[Old Bus Manufacturer:]])</f>
        <v/>
      </c>
      <c r="Q118" s="60" t="str">
        <f>IF(Table2[[#This Row],[Counter Number]]="","",Table1[[#This Row],[Vehicle Model:]])</f>
        <v/>
      </c>
      <c r="R118" s="165" t="str">
        <f>IF(Table2[[#This Row],[Counter Number]]="","",Table1[[#This Row],[Vehicle Model Year:]])</f>
        <v/>
      </c>
      <c r="S118" s="60" t="str">
        <f>IF(Table2[[#This Row],[Counter Number]]="","",Table1[[#This Row],[Engine Serial Number(s):]])</f>
        <v/>
      </c>
      <c r="T118" s="60" t="str">
        <f>IF(Table2[[#This Row],[Counter Number]]="","",Table1[[#This Row],[Engine Make:]])</f>
        <v/>
      </c>
      <c r="U118" s="60" t="str">
        <f>IF(Table2[[#This Row],[Counter Number]]="","",Table1[[#This Row],[Engine Model:]])</f>
        <v/>
      </c>
      <c r="V118" s="165" t="str">
        <f>IF(Table2[[#This Row],[Counter Number]]="","",Table1[[#This Row],[Engine Model Year:]])</f>
        <v/>
      </c>
      <c r="W118" s="60" t="str">
        <f>IF(Table2[[#This Row],[Counter Number]]="","","NA")</f>
        <v/>
      </c>
      <c r="X118" s="165" t="str">
        <f>IF(Table2[[#This Row],[Counter Number]]="","",Table1[[#This Row],[Engine Horsepower (HP):]])</f>
        <v/>
      </c>
      <c r="Y118" s="165" t="str">
        <f>IF(Table2[[#This Row],[Counter Number]]="","",Table1[[#This Row],[Engine Cylinder Displacement (L):]]&amp;" L")</f>
        <v/>
      </c>
      <c r="Z118" s="165" t="str">
        <f>IF(Table2[[#This Row],[Counter Number]]="","",Table1[[#This Row],[Engine Number of Cylinders:]])</f>
        <v/>
      </c>
      <c r="AA118" s="166" t="str">
        <f>IF(Table2[[#This Row],[Counter Number]]="","",Table1[[#This Row],[Engine Family Name:]])</f>
        <v/>
      </c>
      <c r="AB118" s="60" t="str">
        <f>IF(Table2[[#This Row],[Counter Number]]="","","ULSD")</f>
        <v/>
      </c>
      <c r="AC118" s="167" t="str">
        <f>IF(Table2[[#This Row],[Counter Number]]="","",Table2[[#This Row],[Annual Miles Traveled:]]/Table1[[#This Row],[Old Fuel (mpg)]])</f>
        <v/>
      </c>
      <c r="AD118" s="60" t="str">
        <f>IF(Table2[[#This Row],[Counter Number]]="","","NA")</f>
        <v/>
      </c>
      <c r="AE118" s="168" t="str">
        <f>IF(Table2[[#This Row],[Counter Number]]="","",Table1[[#This Row],[Annual Miles Traveled]])</f>
        <v/>
      </c>
      <c r="AF118" s="169" t="str">
        <f>IF(Table2[[#This Row],[Counter Number]]="","",Table1[[#This Row],[Annual Idling Hours:]])</f>
        <v/>
      </c>
      <c r="AG118" s="60" t="str">
        <f>IF(Table2[[#This Row],[Counter Number]]="","","NA")</f>
        <v/>
      </c>
      <c r="AH118" s="165" t="str">
        <f>IF(Table2[[#This Row],[Counter Number]]="","",IF(Application!$J$25="Set Policy",Table1[[#This Row],[Remaining Life (years)         Set Policy]],Table1[[#This Row],[Remaining Life (years)               Case-by-Case]]))</f>
        <v/>
      </c>
      <c r="AI118" s="165" t="str">
        <f>IF(Table2[[#This Row],[Counter Number]]="","",IF(Application!$J$25="Case-by-Case","NA",Table2[[#This Row],[Fiscal Year of EPA Funds Used:]]+Table2[[#This Row],[Remaining Life:]]))</f>
        <v/>
      </c>
      <c r="AJ118" s="165"/>
      <c r="AK118" s="170" t="str">
        <f>IF(Table2[[#This Row],[Counter Number]]="","",Application!$D$14+1)</f>
        <v/>
      </c>
      <c r="AL118" s="60" t="str">
        <f>IF(Table2[[#This Row],[Counter Number]]="","","Vehicle Replacement")</f>
        <v/>
      </c>
      <c r="AM11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8" s="171" t="str">
        <f>IF(Table2[[#This Row],[Counter Number]]="","",Table1[[#This Row],[Cost of New Bus:]])</f>
        <v/>
      </c>
      <c r="AO118" s="60" t="str">
        <f>IF(Table2[[#This Row],[Counter Number]]="","","NA")</f>
        <v/>
      </c>
      <c r="AP118" s="165" t="str">
        <f>IF(Table2[[#This Row],[Counter Number]]="","",Table1[[#This Row],[New Engine Model Year:]])</f>
        <v/>
      </c>
      <c r="AQ118" s="60" t="str">
        <f>IF(Table2[[#This Row],[Counter Number]]="","","NA")</f>
        <v/>
      </c>
      <c r="AR118" s="165" t="str">
        <f>IF(Table2[[#This Row],[Counter Number]]="","",Table1[[#This Row],[New Engine Horsepower (HP):]])</f>
        <v/>
      </c>
      <c r="AS118" s="60" t="str">
        <f>IF(Table2[[#This Row],[Counter Number]]="","","NA")</f>
        <v/>
      </c>
      <c r="AT118" s="165" t="str">
        <f>IF(Table2[[#This Row],[Counter Number]]="","",Table1[[#This Row],[New Engine Cylinder Displacement (L):]]&amp;" L")</f>
        <v/>
      </c>
      <c r="AU118" s="114" t="str">
        <f>IF(Table2[[#This Row],[Counter Number]]="","",Table1[[#This Row],[New Engine Number of Cylinders:]])</f>
        <v/>
      </c>
      <c r="AV118" s="60" t="str">
        <f>IF(Table2[[#This Row],[Counter Number]]="","",Table1[[#This Row],[New Engine Family Name:]])</f>
        <v/>
      </c>
      <c r="AW11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8" s="60" t="str">
        <f>IF(Table2[[#This Row],[Counter Number]]="","","NA")</f>
        <v/>
      </c>
      <c r="AY118" s="172" t="str">
        <f>IF(Table2[[#This Row],[Counter Number]]="","",IF(Table2[[#This Row],[New Engine Fuel Type:]]="ULSD",Table1[[#This Row],[Annual Miles Traveled]]/Table1[[#This Row],[New Fuel (mpg) if Diesel]],""))</f>
        <v/>
      </c>
      <c r="AZ118" s="60"/>
      <c r="BA118" s="173" t="str">
        <f>IF(Table2[[#This Row],[Counter Number]]="","",Table2[[#This Row],[Annual Miles Traveled:]]*VLOOKUP(Table2[[#This Row],[Engine Model Year:]],EFTable[],3,FALSE))</f>
        <v/>
      </c>
      <c r="BB118" s="173" t="str">
        <f>IF(Table2[[#This Row],[Counter Number]]="","",Table2[[#This Row],[Annual Miles Traveled:]]*IF(Table2[[#This Row],[New Engine Fuel Type:]]="ULSD",VLOOKUP(Table2[[#This Row],[New Engine Model Year:]],EFTable[],3,FALSE),VLOOKUP(Table2[[#This Row],[New Engine Fuel Type:]],EFTable[],3,FALSE)))</f>
        <v/>
      </c>
      <c r="BC118" s="187" t="str">
        <f>IF(Table2[[#This Row],[Counter Number]]="","",Table2[[#This Row],[Old Bus NOx Emissions (tons/yr)]]-Table2[[#This Row],[New Bus NOx Emissions (tons/yr)]])</f>
        <v/>
      </c>
      <c r="BD118" s="188" t="str">
        <f>IF(Table2[[#This Row],[Counter Number]]="","",Table2[[#This Row],[Reduction Bus NOx Emissions (tons/yr)]]/Table2[[#This Row],[Old Bus NOx Emissions (tons/yr)]])</f>
        <v/>
      </c>
      <c r="BE118" s="175" t="str">
        <f>IF(Table2[[#This Row],[Counter Number]]="","",Table2[[#This Row],[Reduction Bus NOx Emissions (tons/yr)]]*Table2[[#This Row],[Remaining Life:]])</f>
        <v/>
      </c>
      <c r="BF118" s="189" t="str">
        <f>IF(Table2[[#This Row],[Counter Number]]="","",IF(Table2[[#This Row],[Lifetime NOx Reduction (tons)]]=0,"NA",Table2[[#This Row],[Upgrade Cost Per Unit]]/Table2[[#This Row],[Lifetime NOx Reduction (tons)]]))</f>
        <v/>
      </c>
      <c r="BG118" s="190" t="str">
        <f>IF(Table2[[#This Row],[Counter Number]]="","",Table2[[#This Row],[Annual Miles Traveled:]]*VLOOKUP(Table2[[#This Row],[Engine Model Year:]],EF!$A$2:$G$27,4,FALSE))</f>
        <v/>
      </c>
      <c r="BH118" s="173" t="str">
        <f>IF(Table2[[#This Row],[Counter Number]]="","",Table2[[#This Row],[Annual Miles Traveled:]]*IF(Table2[[#This Row],[New Engine Fuel Type:]]="ULSD",VLOOKUP(Table2[[#This Row],[New Engine Model Year:]],EFTable[],4,FALSE),VLOOKUP(Table2[[#This Row],[New Engine Fuel Type:]],EFTable[],4,FALSE)))</f>
        <v/>
      </c>
      <c r="BI118" s="191" t="str">
        <f>IF(Table2[[#This Row],[Counter Number]]="","",Table2[[#This Row],[Old Bus PM2.5 Emissions (tons/yr)]]-Table2[[#This Row],[New Bus PM2.5 Emissions (tons/yr)]])</f>
        <v/>
      </c>
      <c r="BJ118" s="192" t="str">
        <f>IF(Table2[[#This Row],[Counter Number]]="","",Table2[[#This Row],[Reduction Bus PM2.5 Emissions (tons/yr)]]/Table2[[#This Row],[Old Bus PM2.5 Emissions (tons/yr)]])</f>
        <v/>
      </c>
      <c r="BK118" s="193" t="str">
        <f>IF(Table2[[#This Row],[Counter Number]]="","",Table2[[#This Row],[Reduction Bus PM2.5 Emissions (tons/yr)]]*Table2[[#This Row],[Remaining Life:]])</f>
        <v/>
      </c>
      <c r="BL118" s="194" t="str">
        <f>IF(Table2[[#This Row],[Counter Number]]="","",IF(Table2[[#This Row],[Lifetime PM2.5 Reduction (tons)]]=0,"NA",Table2[[#This Row],[Upgrade Cost Per Unit]]/Table2[[#This Row],[Lifetime PM2.5 Reduction (tons)]]))</f>
        <v/>
      </c>
      <c r="BM118" s="179" t="str">
        <f>IF(Table2[[#This Row],[Counter Number]]="","",Table2[[#This Row],[Annual Miles Traveled:]]*VLOOKUP(Table2[[#This Row],[Engine Model Year:]],EF!$A$2:$G$40,5,FALSE))</f>
        <v/>
      </c>
      <c r="BN118" s="173" t="str">
        <f>IF(Table2[[#This Row],[Counter Number]]="","",Table2[[#This Row],[Annual Miles Traveled:]]*IF(Table2[[#This Row],[New Engine Fuel Type:]]="ULSD",VLOOKUP(Table2[[#This Row],[New Engine Model Year:]],EFTable[],5,FALSE),VLOOKUP(Table2[[#This Row],[New Engine Fuel Type:]],EFTable[],5,FALSE)))</f>
        <v/>
      </c>
      <c r="BO118" s="190" t="str">
        <f>IF(Table2[[#This Row],[Counter Number]]="","",Table2[[#This Row],[Old Bus HC Emissions (tons/yr)]]-Table2[[#This Row],[New Bus HC Emissions (tons/yr)]])</f>
        <v/>
      </c>
      <c r="BP118" s="188" t="str">
        <f>IF(Table2[[#This Row],[Counter Number]]="","",Table2[[#This Row],[Reduction Bus HC Emissions (tons/yr)]]/Table2[[#This Row],[Old Bus HC Emissions (tons/yr)]])</f>
        <v/>
      </c>
      <c r="BQ118" s="193" t="str">
        <f>IF(Table2[[#This Row],[Counter Number]]="","",Table2[[#This Row],[Reduction Bus HC Emissions (tons/yr)]]*Table2[[#This Row],[Remaining Life:]])</f>
        <v/>
      </c>
      <c r="BR118" s="194" t="str">
        <f>IF(Table2[[#This Row],[Counter Number]]="","",IF(Table2[[#This Row],[Lifetime HC Reduction (tons)]]=0,"NA",Table2[[#This Row],[Upgrade Cost Per Unit]]/Table2[[#This Row],[Lifetime HC Reduction (tons)]]))</f>
        <v/>
      </c>
      <c r="BS118" s="191" t="str">
        <f>IF(Table2[[#This Row],[Counter Number]]="","",Table2[[#This Row],[Annual Miles Traveled:]]*VLOOKUP(Table2[[#This Row],[Engine Model Year:]],EF!$A$2:$G$27,6,FALSE))</f>
        <v/>
      </c>
      <c r="BT118" s="173" t="str">
        <f>IF(Table2[[#This Row],[Counter Number]]="","",Table2[[#This Row],[Annual Miles Traveled:]]*IF(Table2[[#This Row],[New Engine Fuel Type:]]="ULSD",VLOOKUP(Table2[[#This Row],[New Engine Model Year:]],EFTable[],6,FALSE),VLOOKUP(Table2[[#This Row],[New Engine Fuel Type:]],EFTable[],6,FALSE)))</f>
        <v/>
      </c>
      <c r="BU118" s="190" t="str">
        <f>IF(Table2[[#This Row],[Counter Number]]="","",Table2[[#This Row],[Old Bus CO Emissions (tons/yr)]]-Table2[[#This Row],[New Bus CO Emissions (tons/yr)]])</f>
        <v/>
      </c>
      <c r="BV118" s="188" t="str">
        <f>IF(Table2[[#This Row],[Counter Number]]="","",Table2[[#This Row],[Reduction Bus CO Emissions (tons/yr)]]/Table2[[#This Row],[Old Bus CO Emissions (tons/yr)]])</f>
        <v/>
      </c>
      <c r="BW118" s="193" t="str">
        <f>IF(Table2[[#This Row],[Counter Number]]="","",Table2[[#This Row],[Reduction Bus CO Emissions (tons/yr)]]*Table2[[#This Row],[Remaining Life:]])</f>
        <v/>
      </c>
      <c r="BX118" s="194" t="str">
        <f>IF(Table2[[#This Row],[Counter Number]]="","",IF(Table2[[#This Row],[Lifetime CO Reduction (tons)]]=0,"NA",Table2[[#This Row],[Upgrade Cost Per Unit]]/Table2[[#This Row],[Lifetime CO Reduction (tons)]]))</f>
        <v/>
      </c>
      <c r="BY118" s="180" t="str">
        <f>IF(Table2[[#This Row],[Counter Number]]="","",Table2[[#This Row],[Old ULSD Used (gal):]]*VLOOKUP(Table2[[#This Row],[Engine Model Year:]],EF!$A$2:$G$27,7,FALSE))</f>
        <v/>
      </c>
      <c r="BZ11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8" s="195" t="str">
        <f>IF(Table2[[#This Row],[Counter Number]]="","",Table2[[#This Row],[Old Bus CO2 Emissions (tons/yr)]]-Table2[[#This Row],[New Bus CO2 Emissions (tons/yr)]])</f>
        <v/>
      </c>
      <c r="CB118" s="188" t="str">
        <f>IF(Table2[[#This Row],[Counter Number]]="","",Table2[[#This Row],[Reduction Bus CO2 Emissions (tons/yr)]]/Table2[[#This Row],[Old Bus CO2 Emissions (tons/yr)]])</f>
        <v/>
      </c>
      <c r="CC118" s="195" t="str">
        <f>IF(Table2[[#This Row],[Counter Number]]="","",Table2[[#This Row],[Reduction Bus CO2 Emissions (tons/yr)]]*Table2[[#This Row],[Remaining Life:]])</f>
        <v/>
      </c>
      <c r="CD118" s="194" t="str">
        <f>IF(Table2[[#This Row],[Counter Number]]="","",IF(Table2[[#This Row],[Lifetime CO2 Reduction (tons)]]=0,"NA",Table2[[#This Row],[Upgrade Cost Per Unit]]/Table2[[#This Row],[Lifetime CO2 Reduction (tons)]]))</f>
        <v/>
      </c>
      <c r="CE118" s="182" t="str">
        <f>IF(Table2[[#This Row],[Counter Number]]="","",IF(Table2[[#This Row],[New ULSD Used (gal):]]="",Table2[[#This Row],[Old ULSD Used (gal):]],Table2[[#This Row],[Old ULSD Used (gal):]]-Table2[[#This Row],[New ULSD Used (gal):]]))</f>
        <v/>
      </c>
      <c r="CF118" s="196" t="str">
        <f>IF(Table2[[#This Row],[Counter Number]]="","",Table2[[#This Row],[Diesel Fuel Reduction (gal/yr)]]/Table2[[#This Row],[Old ULSD Used (gal):]])</f>
        <v/>
      </c>
      <c r="CG118" s="197" t="str">
        <f>IF(Table2[[#This Row],[Counter Number]]="","",Table2[[#This Row],[Diesel Fuel Reduction (gal/yr)]]*Table2[[#This Row],[Remaining Life:]])</f>
        <v/>
      </c>
    </row>
    <row r="119" spans="1:85">
      <c r="A119" s="184" t="str">
        <f>IF(A118&lt;Application!$D$24,A118+1,"")</f>
        <v/>
      </c>
      <c r="B119" s="60" t="str">
        <f>IF(Table2[[#This Row],[Counter Number]]="","",Application!$D$16)</f>
        <v/>
      </c>
      <c r="C119" s="60" t="str">
        <f>IF(Table2[[#This Row],[Counter Number]]="","",Application!$D$14)</f>
        <v/>
      </c>
      <c r="D119" s="60" t="str">
        <f>IF(Table2[[#This Row],[Counter Number]]="","",Table1[[#This Row],[Old Bus Number]])</f>
        <v/>
      </c>
      <c r="E119" s="60" t="str">
        <f>IF(Table2[[#This Row],[Counter Number]]="","",Application!$D$15)</f>
        <v/>
      </c>
      <c r="F119" s="60" t="str">
        <f>IF(Table2[[#This Row],[Counter Number]]="","","On Highway")</f>
        <v/>
      </c>
      <c r="G119" s="60" t="str">
        <f>IF(Table2[[#This Row],[Counter Number]]="","",I119)</f>
        <v/>
      </c>
      <c r="H119" s="60" t="str">
        <f>IF(Table2[[#This Row],[Counter Number]]="","","Georgia")</f>
        <v/>
      </c>
      <c r="I119" s="60" t="str">
        <f>IF(Table2[[#This Row],[Counter Number]]="","",Application!$D$16)</f>
        <v/>
      </c>
      <c r="J119" s="60" t="str">
        <f>IF(Table2[[#This Row],[Counter Number]]="","",Application!$D$21)</f>
        <v/>
      </c>
      <c r="K119" s="60" t="str">
        <f>IF(Table2[[#This Row],[Counter Number]]="","",Application!$J$21)</f>
        <v/>
      </c>
      <c r="L119" s="60" t="str">
        <f>IF(Table2[[#This Row],[Counter Number]]="","","School Bus")</f>
        <v/>
      </c>
      <c r="M119" s="60" t="str">
        <f>IF(Table2[[#This Row],[Counter Number]]="","","School Bus")</f>
        <v/>
      </c>
      <c r="N119" s="60" t="str">
        <f>IF(Table2[[#This Row],[Counter Number]]="","",1)</f>
        <v/>
      </c>
      <c r="O119" s="60" t="str">
        <f>IF(Table2[[#This Row],[Counter Number]]="","",Table1[[#This Row],[Vehicle Identification Number(s):]])</f>
        <v/>
      </c>
      <c r="P119" s="60" t="str">
        <f>IF(Table2[[#This Row],[Counter Number]]="","",Table1[[#This Row],[Old Bus Manufacturer:]])</f>
        <v/>
      </c>
      <c r="Q119" s="60" t="str">
        <f>IF(Table2[[#This Row],[Counter Number]]="","",Table1[[#This Row],[Vehicle Model:]])</f>
        <v/>
      </c>
      <c r="R119" s="165" t="str">
        <f>IF(Table2[[#This Row],[Counter Number]]="","",Table1[[#This Row],[Vehicle Model Year:]])</f>
        <v/>
      </c>
      <c r="S119" s="60" t="str">
        <f>IF(Table2[[#This Row],[Counter Number]]="","",Table1[[#This Row],[Engine Serial Number(s):]])</f>
        <v/>
      </c>
      <c r="T119" s="60" t="str">
        <f>IF(Table2[[#This Row],[Counter Number]]="","",Table1[[#This Row],[Engine Make:]])</f>
        <v/>
      </c>
      <c r="U119" s="60" t="str">
        <f>IF(Table2[[#This Row],[Counter Number]]="","",Table1[[#This Row],[Engine Model:]])</f>
        <v/>
      </c>
      <c r="V119" s="165" t="str">
        <f>IF(Table2[[#This Row],[Counter Number]]="","",Table1[[#This Row],[Engine Model Year:]])</f>
        <v/>
      </c>
      <c r="W119" s="60" t="str">
        <f>IF(Table2[[#This Row],[Counter Number]]="","","NA")</f>
        <v/>
      </c>
      <c r="X119" s="165" t="str">
        <f>IF(Table2[[#This Row],[Counter Number]]="","",Table1[[#This Row],[Engine Horsepower (HP):]])</f>
        <v/>
      </c>
      <c r="Y119" s="165" t="str">
        <f>IF(Table2[[#This Row],[Counter Number]]="","",Table1[[#This Row],[Engine Cylinder Displacement (L):]]&amp;" L")</f>
        <v/>
      </c>
      <c r="Z119" s="165" t="str">
        <f>IF(Table2[[#This Row],[Counter Number]]="","",Table1[[#This Row],[Engine Number of Cylinders:]])</f>
        <v/>
      </c>
      <c r="AA119" s="166" t="str">
        <f>IF(Table2[[#This Row],[Counter Number]]="","",Table1[[#This Row],[Engine Family Name:]])</f>
        <v/>
      </c>
      <c r="AB119" s="60" t="str">
        <f>IF(Table2[[#This Row],[Counter Number]]="","","ULSD")</f>
        <v/>
      </c>
      <c r="AC119" s="167" t="str">
        <f>IF(Table2[[#This Row],[Counter Number]]="","",Table2[[#This Row],[Annual Miles Traveled:]]/Table1[[#This Row],[Old Fuel (mpg)]])</f>
        <v/>
      </c>
      <c r="AD119" s="60" t="str">
        <f>IF(Table2[[#This Row],[Counter Number]]="","","NA")</f>
        <v/>
      </c>
      <c r="AE119" s="168" t="str">
        <f>IF(Table2[[#This Row],[Counter Number]]="","",Table1[[#This Row],[Annual Miles Traveled]])</f>
        <v/>
      </c>
      <c r="AF119" s="169" t="str">
        <f>IF(Table2[[#This Row],[Counter Number]]="","",Table1[[#This Row],[Annual Idling Hours:]])</f>
        <v/>
      </c>
      <c r="AG119" s="60" t="str">
        <f>IF(Table2[[#This Row],[Counter Number]]="","","NA")</f>
        <v/>
      </c>
      <c r="AH119" s="165" t="str">
        <f>IF(Table2[[#This Row],[Counter Number]]="","",IF(Application!$J$25="Set Policy",Table1[[#This Row],[Remaining Life (years)         Set Policy]],Table1[[#This Row],[Remaining Life (years)               Case-by-Case]]))</f>
        <v/>
      </c>
      <c r="AI119" s="165" t="str">
        <f>IF(Table2[[#This Row],[Counter Number]]="","",IF(Application!$J$25="Case-by-Case","NA",Table2[[#This Row],[Fiscal Year of EPA Funds Used:]]+Table2[[#This Row],[Remaining Life:]]))</f>
        <v/>
      </c>
      <c r="AJ119" s="165"/>
      <c r="AK119" s="170" t="str">
        <f>IF(Table2[[#This Row],[Counter Number]]="","",Application!$D$14+1)</f>
        <v/>
      </c>
      <c r="AL119" s="60" t="str">
        <f>IF(Table2[[#This Row],[Counter Number]]="","","Vehicle Replacement")</f>
        <v/>
      </c>
      <c r="AM11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9" s="171" t="str">
        <f>IF(Table2[[#This Row],[Counter Number]]="","",Table1[[#This Row],[Cost of New Bus:]])</f>
        <v/>
      </c>
      <c r="AO119" s="60" t="str">
        <f>IF(Table2[[#This Row],[Counter Number]]="","","NA")</f>
        <v/>
      </c>
      <c r="AP119" s="165" t="str">
        <f>IF(Table2[[#This Row],[Counter Number]]="","",Table1[[#This Row],[New Engine Model Year:]])</f>
        <v/>
      </c>
      <c r="AQ119" s="60" t="str">
        <f>IF(Table2[[#This Row],[Counter Number]]="","","NA")</f>
        <v/>
      </c>
      <c r="AR119" s="165" t="str">
        <f>IF(Table2[[#This Row],[Counter Number]]="","",Table1[[#This Row],[New Engine Horsepower (HP):]])</f>
        <v/>
      </c>
      <c r="AS119" s="60" t="str">
        <f>IF(Table2[[#This Row],[Counter Number]]="","","NA")</f>
        <v/>
      </c>
      <c r="AT119" s="165" t="str">
        <f>IF(Table2[[#This Row],[Counter Number]]="","",Table1[[#This Row],[New Engine Cylinder Displacement (L):]]&amp;" L")</f>
        <v/>
      </c>
      <c r="AU119" s="114" t="str">
        <f>IF(Table2[[#This Row],[Counter Number]]="","",Table1[[#This Row],[New Engine Number of Cylinders:]])</f>
        <v/>
      </c>
      <c r="AV119" s="60" t="str">
        <f>IF(Table2[[#This Row],[Counter Number]]="","",Table1[[#This Row],[New Engine Family Name:]])</f>
        <v/>
      </c>
      <c r="AW11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9" s="60" t="str">
        <f>IF(Table2[[#This Row],[Counter Number]]="","","NA")</f>
        <v/>
      </c>
      <c r="AY119" s="172" t="str">
        <f>IF(Table2[[#This Row],[Counter Number]]="","",IF(Table2[[#This Row],[New Engine Fuel Type:]]="ULSD",Table1[[#This Row],[Annual Miles Traveled]]/Table1[[#This Row],[New Fuel (mpg) if Diesel]],""))</f>
        <v/>
      </c>
      <c r="AZ119" s="60"/>
      <c r="BA119" s="173" t="str">
        <f>IF(Table2[[#This Row],[Counter Number]]="","",Table2[[#This Row],[Annual Miles Traveled:]]*VLOOKUP(Table2[[#This Row],[Engine Model Year:]],EFTable[],3,FALSE))</f>
        <v/>
      </c>
      <c r="BB119" s="173" t="str">
        <f>IF(Table2[[#This Row],[Counter Number]]="","",Table2[[#This Row],[Annual Miles Traveled:]]*IF(Table2[[#This Row],[New Engine Fuel Type:]]="ULSD",VLOOKUP(Table2[[#This Row],[New Engine Model Year:]],EFTable[],3,FALSE),VLOOKUP(Table2[[#This Row],[New Engine Fuel Type:]],EFTable[],3,FALSE)))</f>
        <v/>
      </c>
      <c r="BC119" s="187" t="str">
        <f>IF(Table2[[#This Row],[Counter Number]]="","",Table2[[#This Row],[Old Bus NOx Emissions (tons/yr)]]-Table2[[#This Row],[New Bus NOx Emissions (tons/yr)]])</f>
        <v/>
      </c>
      <c r="BD119" s="188" t="str">
        <f>IF(Table2[[#This Row],[Counter Number]]="","",Table2[[#This Row],[Reduction Bus NOx Emissions (tons/yr)]]/Table2[[#This Row],[Old Bus NOx Emissions (tons/yr)]])</f>
        <v/>
      </c>
      <c r="BE119" s="175" t="str">
        <f>IF(Table2[[#This Row],[Counter Number]]="","",Table2[[#This Row],[Reduction Bus NOx Emissions (tons/yr)]]*Table2[[#This Row],[Remaining Life:]])</f>
        <v/>
      </c>
      <c r="BF119" s="189" t="str">
        <f>IF(Table2[[#This Row],[Counter Number]]="","",IF(Table2[[#This Row],[Lifetime NOx Reduction (tons)]]=0,"NA",Table2[[#This Row],[Upgrade Cost Per Unit]]/Table2[[#This Row],[Lifetime NOx Reduction (tons)]]))</f>
        <v/>
      </c>
      <c r="BG119" s="190" t="str">
        <f>IF(Table2[[#This Row],[Counter Number]]="","",Table2[[#This Row],[Annual Miles Traveled:]]*VLOOKUP(Table2[[#This Row],[Engine Model Year:]],EF!$A$2:$G$27,4,FALSE))</f>
        <v/>
      </c>
      <c r="BH119" s="173" t="str">
        <f>IF(Table2[[#This Row],[Counter Number]]="","",Table2[[#This Row],[Annual Miles Traveled:]]*IF(Table2[[#This Row],[New Engine Fuel Type:]]="ULSD",VLOOKUP(Table2[[#This Row],[New Engine Model Year:]],EFTable[],4,FALSE),VLOOKUP(Table2[[#This Row],[New Engine Fuel Type:]],EFTable[],4,FALSE)))</f>
        <v/>
      </c>
      <c r="BI119" s="191" t="str">
        <f>IF(Table2[[#This Row],[Counter Number]]="","",Table2[[#This Row],[Old Bus PM2.5 Emissions (tons/yr)]]-Table2[[#This Row],[New Bus PM2.5 Emissions (tons/yr)]])</f>
        <v/>
      </c>
      <c r="BJ119" s="192" t="str">
        <f>IF(Table2[[#This Row],[Counter Number]]="","",Table2[[#This Row],[Reduction Bus PM2.5 Emissions (tons/yr)]]/Table2[[#This Row],[Old Bus PM2.5 Emissions (tons/yr)]])</f>
        <v/>
      </c>
      <c r="BK119" s="193" t="str">
        <f>IF(Table2[[#This Row],[Counter Number]]="","",Table2[[#This Row],[Reduction Bus PM2.5 Emissions (tons/yr)]]*Table2[[#This Row],[Remaining Life:]])</f>
        <v/>
      </c>
      <c r="BL119" s="194" t="str">
        <f>IF(Table2[[#This Row],[Counter Number]]="","",IF(Table2[[#This Row],[Lifetime PM2.5 Reduction (tons)]]=0,"NA",Table2[[#This Row],[Upgrade Cost Per Unit]]/Table2[[#This Row],[Lifetime PM2.5 Reduction (tons)]]))</f>
        <v/>
      </c>
      <c r="BM119" s="179" t="str">
        <f>IF(Table2[[#This Row],[Counter Number]]="","",Table2[[#This Row],[Annual Miles Traveled:]]*VLOOKUP(Table2[[#This Row],[Engine Model Year:]],EF!$A$2:$G$40,5,FALSE))</f>
        <v/>
      </c>
      <c r="BN119" s="173" t="str">
        <f>IF(Table2[[#This Row],[Counter Number]]="","",Table2[[#This Row],[Annual Miles Traveled:]]*IF(Table2[[#This Row],[New Engine Fuel Type:]]="ULSD",VLOOKUP(Table2[[#This Row],[New Engine Model Year:]],EFTable[],5,FALSE),VLOOKUP(Table2[[#This Row],[New Engine Fuel Type:]],EFTable[],5,FALSE)))</f>
        <v/>
      </c>
      <c r="BO119" s="190" t="str">
        <f>IF(Table2[[#This Row],[Counter Number]]="","",Table2[[#This Row],[Old Bus HC Emissions (tons/yr)]]-Table2[[#This Row],[New Bus HC Emissions (tons/yr)]])</f>
        <v/>
      </c>
      <c r="BP119" s="188" t="str">
        <f>IF(Table2[[#This Row],[Counter Number]]="","",Table2[[#This Row],[Reduction Bus HC Emissions (tons/yr)]]/Table2[[#This Row],[Old Bus HC Emissions (tons/yr)]])</f>
        <v/>
      </c>
      <c r="BQ119" s="193" t="str">
        <f>IF(Table2[[#This Row],[Counter Number]]="","",Table2[[#This Row],[Reduction Bus HC Emissions (tons/yr)]]*Table2[[#This Row],[Remaining Life:]])</f>
        <v/>
      </c>
      <c r="BR119" s="194" t="str">
        <f>IF(Table2[[#This Row],[Counter Number]]="","",IF(Table2[[#This Row],[Lifetime HC Reduction (tons)]]=0,"NA",Table2[[#This Row],[Upgrade Cost Per Unit]]/Table2[[#This Row],[Lifetime HC Reduction (tons)]]))</f>
        <v/>
      </c>
      <c r="BS119" s="191" t="str">
        <f>IF(Table2[[#This Row],[Counter Number]]="","",Table2[[#This Row],[Annual Miles Traveled:]]*VLOOKUP(Table2[[#This Row],[Engine Model Year:]],EF!$A$2:$G$27,6,FALSE))</f>
        <v/>
      </c>
      <c r="BT119" s="173" t="str">
        <f>IF(Table2[[#This Row],[Counter Number]]="","",Table2[[#This Row],[Annual Miles Traveled:]]*IF(Table2[[#This Row],[New Engine Fuel Type:]]="ULSD",VLOOKUP(Table2[[#This Row],[New Engine Model Year:]],EFTable[],6,FALSE),VLOOKUP(Table2[[#This Row],[New Engine Fuel Type:]],EFTable[],6,FALSE)))</f>
        <v/>
      </c>
      <c r="BU119" s="190" t="str">
        <f>IF(Table2[[#This Row],[Counter Number]]="","",Table2[[#This Row],[Old Bus CO Emissions (tons/yr)]]-Table2[[#This Row],[New Bus CO Emissions (tons/yr)]])</f>
        <v/>
      </c>
      <c r="BV119" s="188" t="str">
        <f>IF(Table2[[#This Row],[Counter Number]]="","",Table2[[#This Row],[Reduction Bus CO Emissions (tons/yr)]]/Table2[[#This Row],[Old Bus CO Emissions (tons/yr)]])</f>
        <v/>
      </c>
      <c r="BW119" s="193" t="str">
        <f>IF(Table2[[#This Row],[Counter Number]]="","",Table2[[#This Row],[Reduction Bus CO Emissions (tons/yr)]]*Table2[[#This Row],[Remaining Life:]])</f>
        <v/>
      </c>
      <c r="BX119" s="194" t="str">
        <f>IF(Table2[[#This Row],[Counter Number]]="","",IF(Table2[[#This Row],[Lifetime CO Reduction (tons)]]=0,"NA",Table2[[#This Row],[Upgrade Cost Per Unit]]/Table2[[#This Row],[Lifetime CO Reduction (tons)]]))</f>
        <v/>
      </c>
      <c r="BY119" s="180" t="str">
        <f>IF(Table2[[#This Row],[Counter Number]]="","",Table2[[#This Row],[Old ULSD Used (gal):]]*VLOOKUP(Table2[[#This Row],[Engine Model Year:]],EF!$A$2:$G$27,7,FALSE))</f>
        <v/>
      </c>
      <c r="BZ11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9" s="195" t="str">
        <f>IF(Table2[[#This Row],[Counter Number]]="","",Table2[[#This Row],[Old Bus CO2 Emissions (tons/yr)]]-Table2[[#This Row],[New Bus CO2 Emissions (tons/yr)]])</f>
        <v/>
      </c>
      <c r="CB119" s="188" t="str">
        <f>IF(Table2[[#This Row],[Counter Number]]="","",Table2[[#This Row],[Reduction Bus CO2 Emissions (tons/yr)]]/Table2[[#This Row],[Old Bus CO2 Emissions (tons/yr)]])</f>
        <v/>
      </c>
      <c r="CC119" s="195" t="str">
        <f>IF(Table2[[#This Row],[Counter Number]]="","",Table2[[#This Row],[Reduction Bus CO2 Emissions (tons/yr)]]*Table2[[#This Row],[Remaining Life:]])</f>
        <v/>
      </c>
      <c r="CD119" s="194" t="str">
        <f>IF(Table2[[#This Row],[Counter Number]]="","",IF(Table2[[#This Row],[Lifetime CO2 Reduction (tons)]]=0,"NA",Table2[[#This Row],[Upgrade Cost Per Unit]]/Table2[[#This Row],[Lifetime CO2 Reduction (tons)]]))</f>
        <v/>
      </c>
      <c r="CE119" s="182" t="str">
        <f>IF(Table2[[#This Row],[Counter Number]]="","",IF(Table2[[#This Row],[New ULSD Used (gal):]]="",Table2[[#This Row],[Old ULSD Used (gal):]],Table2[[#This Row],[Old ULSD Used (gal):]]-Table2[[#This Row],[New ULSD Used (gal):]]))</f>
        <v/>
      </c>
      <c r="CF119" s="196" t="str">
        <f>IF(Table2[[#This Row],[Counter Number]]="","",Table2[[#This Row],[Diesel Fuel Reduction (gal/yr)]]/Table2[[#This Row],[Old ULSD Used (gal):]])</f>
        <v/>
      </c>
      <c r="CG119" s="197" t="str">
        <f>IF(Table2[[#This Row],[Counter Number]]="","",Table2[[#This Row],[Diesel Fuel Reduction (gal/yr)]]*Table2[[#This Row],[Remaining Life:]])</f>
        <v/>
      </c>
    </row>
    <row r="120" spans="1:85">
      <c r="A120" s="184" t="str">
        <f>IF(A119&lt;Application!$D$24,A119+1,"")</f>
        <v/>
      </c>
      <c r="B120" s="60" t="str">
        <f>IF(Table2[[#This Row],[Counter Number]]="","",Application!$D$16)</f>
        <v/>
      </c>
      <c r="C120" s="60" t="str">
        <f>IF(Table2[[#This Row],[Counter Number]]="","",Application!$D$14)</f>
        <v/>
      </c>
      <c r="D120" s="60" t="str">
        <f>IF(Table2[[#This Row],[Counter Number]]="","",Table1[[#This Row],[Old Bus Number]])</f>
        <v/>
      </c>
      <c r="E120" s="60" t="str">
        <f>IF(Table2[[#This Row],[Counter Number]]="","",Application!$D$15)</f>
        <v/>
      </c>
      <c r="F120" s="60" t="str">
        <f>IF(Table2[[#This Row],[Counter Number]]="","","On Highway")</f>
        <v/>
      </c>
      <c r="G120" s="60" t="str">
        <f>IF(Table2[[#This Row],[Counter Number]]="","",I120)</f>
        <v/>
      </c>
      <c r="H120" s="60" t="str">
        <f>IF(Table2[[#This Row],[Counter Number]]="","","Georgia")</f>
        <v/>
      </c>
      <c r="I120" s="60" t="str">
        <f>IF(Table2[[#This Row],[Counter Number]]="","",Application!$D$16)</f>
        <v/>
      </c>
      <c r="J120" s="60" t="str">
        <f>IF(Table2[[#This Row],[Counter Number]]="","",Application!$D$21)</f>
        <v/>
      </c>
      <c r="K120" s="60" t="str">
        <f>IF(Table2[[#This Row],[Counter Number]]="","",Application!$J$21)</f>
        <v/>
      </c>
      <c r="L120" s="60" t="str">
        <f>IF(Table2[[#This Row],[Counter Number]]="","","School Bus")</f>
        <v/>
      </c>
      <c r="M120" s="60" t="str">
        <f>IF(Table2[[#This Row],[Counter Number]]="","","School Bus")</f>
        <v/>
      </c>
      <c r="N120" s="60" t="str">
        <f>IF(Table2[[#This Row],[Counter Number]]="","",1)</f>
        <v/>
      </c>
      <c r="O120" s="60" t="str">
        <f>IF(Table2[[#This Row],[Counter Number]]="","",Table1[[#This Row],[Vehicle Identification Number(s):]])</f>
        <v/>
      </c>
      <c r="P120" s="60" t="str">
        <f>IF(Table2[[#This Row],[Counter Number]]="","",Table1[[#This Row],[Old Bus Manufacturer:]])</f>
        <v/>
      </c>
      <c r="Q120" s="60" t="str">
        <f>IF(Table2[[#This Row],[Counter Number]]="","",Table1[[#This Row],[Vehicle Model:]])</f>
        <v/>
      </c>
      <c r="R120" s="165" t="str">
        <f>IF(Table2[[#This Row],[Counter Number]]="","",Table1[[#This Row],[Vehicle Model Year:]])</f>
        <v/>
      </c>
      <c r="S120" s="60" t="str">
        <f>IF(Table2[[#This Row],[Counter Number]]="","",Table1[[#This Row],[Engine Serial Number(s):]])</f>
        <v/>
      </c>
      <c r="T120" s="60" t="str">
        <f>IF(Table2[[#This Row],[Counter Number]]="","",Table1[[#This Row],[Engine Make:]])</f>
        <v/>
      </c>
      <c r="U120" s="60" t="str">
        <f>IF(Table2[[#This Row],[Counter Number]]="","",Table1[[#This Row],[Engine Model:]])</f>
        <v/>
      </c>
      <c r="V120" s="165" t="str">
        <f>IF(Table2[[#This Row],[Counter Number]]="","",Table1[[#This Row],[Engine Model Year:]])</f>
        <v/>
      </c>
      <c r="W120" s="60" t="str">
        <f>IF(Table2[[#This Row],[Counter Number]]="","","NA")</f>
        <v/>
      </c>
      <c r="X120" s="165" t="str">
        <f>IF(Table2[[#This Row],[Counter Number]]="","",Table1[[#This Row],[Engine Horsepower (HP):]])</f>
        <v/>
      </c>
      <c r="Y120" s="165" t="str">
        <f>IF(Table2[[#This Row],[Counter Number]]="","",Table1[[#This Row],[Engine Cylinder Displacement (L):]]&amp;" L")</f>
        <v/>
      </c>
      <c r="Z120" s="165" t="str">
        <f>IF(Table2[[#This Row],[Counter Number]]="","",Table1[[#This Row],[Engine Number of Cylinders:]])</f>
        <v/>
      </c>
      <c r="AA120" s="166" t="str">
        <f>IF(Table2[[#This Row],[Counter Number]]="","",Table1[[#This Row],[Engine Family Name:]])</f>
        <v/>
      </c>
      <c r="AB120" s="60" t="str">
        <f>IF(Table2[[#This Row],[Counter Number]]="","","ULSD")</f>
        <v/>
      </c>
      <c r="AC120" s="167" t="str">
        <f>IF(Table2[[#This Row],[Counter Number]]="","",Table2[[#This Row],[Annual Miles Traveled:]]/Table1[[#This Row],[Old Fuel (mpg)]])</f>
        <v/>
      </c>
      <c r="AD120" s="60" t="str">
        <f>IF(Table2[[#This Row],[Counter Number]]="","","NA")</f>
        <v/>
      </c>
      <c r="AE120" s="168" t="str">
        <f>IF(Table2[[#This Row],[Counter Number]]="","",Table1[[#This Row],[Annual Miles Traveled]])</f>
        <v/>
      </c>
      <c r="AF120" s="169" t="str">
        <f>IF(Table2[[#This Row],[Counter Number]]="","",Table1[[#This Row],[Annual Idling Hours:]])</f>
        <v/>
      </c>
      <c r="AG120" s="60" t="str">
        <f>IF(Table2[[#This Row],[Counter Number]]="","","NA")</f>
        <v/>
      </c>
      <c r="AH120" s="165" t="str">
        <f>IF(Table2[[#This Row],[Counter Number]]="","",IF(Application!$J$25="Set Policy",Table1[[#This Row],[Remaining Life (years)         Set Policy]],Table1[[#This Row],[Remaining Life (years)               Case-by-Case]]))</f>
        <v/>
      </c>
      <c r="AI120" s="165" t="str">
        <f>IF(Table2[[#This Row],[Counter Number]]="","",IF(Application!$J$25="Case-by-Case","NA",Table2[[#This Row],[Fiscal Year of EPA Funds Used:]]+Table2[[#This Row],[Remaining Life:]]))</f>
        <v/>
      </c>
      <c r="AJ120" s="165"/>
      <c r="AK120" s="170" t="str">
        <f>IF(Table2[[#This Row],[Counter Number]]="","",Application!$D$14+1)</f>
        <v/>
      </c>
      <c r="AL120" s="60" t="str">
        <f>IF(Table2[[#This Row],[Counter Number]]="","","Vehicle Replacement")</f>
        <v/>
      </c>
      <c r="AM12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0" s="171" t="str">
        <f>IF(Table2[[#This Row],[Counter Number]]="","",Table1[[#This Row],[Cost of New Bus:]])</f>
        <v/>
      </c>
      <c r="AO120" s="60" t="str">
        <f>IF(Table2[[#This Row],[Counter Number]]="","","NA")</f>
        <v/>
      </c>
      <c r="AP120" s="165" t="str">
        <f>IF(Table2[[#This Row],[Counter Number]]="","",Table1[[#This Row],[New Engine Model Year:]])</f>
        <v/>
      </c>
      <c r="AQ120" s="60" t="str">
        <f>IF(Table2[[#This Row],[Counter Number]]="","","NA")</f>
        <v/>
      </c>
      <c r="AR120" s="165" t="str">
        <f>IF(Table2[[#This Row],[Counter Number]]="","",Table1[[#This Row],[New Engine Horsepower (HP):]])</f>
        <v/>
      </c>
      <c r="AS120" s="60" t="str">
        <f>IF(Table2[[#This Row],[Counter Number]]="","","NA")</f>
        <v/>
      </c>
      <c r="AT120" s="165" t="str">
        <f>IF(Table2[[#This Row],[Counter Number]]="","",Table1[[#This Row],[New Engine Cylinder Displacement (L):]]&amp;" L")</f>
        <v/>
      </c>
      <c r="AU120" s="114" t="str">
        <f>IF(Table2[[#This Row],[Counter Number]]="","",Table1[[#This Row],[New Engine Number of Cylinders:]])</f>
        <v/>
      </c>
      <c r="AV120" s="60" t="str">
        <f>IF(Table2[[#This Row],[Counter Number]]="","",Table1[[#This Row],[New Engine Family Name:]])</f>
        <v/>
      </c>
      <c r="AW12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0" s="60" t="str">
        <f>IF(Table2[[#This Row],[Counter Number]]="","","NA")</f>
        <v/>
      </c>
      <c r="AY120" s="172" t="str">
        <f>IF(Table2[[#This Row],[Counter Number]]="","",IF(Table2[[#This Row],[New Engine Fuel Type:]]="ULSD",Table1[[#This Row],[Annual Miles Traveled]]/Table1[[#This Row],[New Fuel (mpg) if Diesel]],""))</f>
        <v/>
      </c>
      <c r="AZ120" s="60"/>
      <c r="BA120" s="173" t="str">
        <f>IF(Table2[[#This Row],[Counter Number]]="","",Table2[[#This Row],[Annual Miles Traveled:]]*VLOOKUP(Table2[[#This Row],[Engine Model Year:]],EFTable[],3,FALSE))</f>
        <v/>
      </c>
      <c r="BB120" s="173" t="str">
        <f>IF(Table2[[#This Row],[Counter Number]]="","",Table2[[#This Row],[Annual Miles Traveled:]]*IF(Table2[[#This Row],[New Engine Fuel Type:]]="ULSD",VLOOKUP(Table2[[#This Row],[New Engine Model Year:]],EFTable[],3,FALSE),VLOOKUP(Table2[[#This Row],[New Engine Fuel Type:]],EFTable[],3,FALSE)))</f>
        <v/>
      </c>
      <c r="BC120" s="187" t="str">
        <f>IF(Table2[[#This Row],[Counter Number]]="","",Table2[[#This Row],[Old Bus NOx Emissions (tons/yr)]]-Table2[[#This Row],[New Bus NOx Emissions (tons/yr)]])</f>
        <v/>
      </c>
      <c r="BD120" s="188" t="str">
        <f>IF(Table2[[#This Row],[Counter Number]]="","",Table2[[#This Row],[Reduction Bus NOx Emissions (tons/yr)]]/Table2[[#This Row],[Old Bus NOx Emissions (tons/yr)]])</f>
        <v/>
      </c>
      <c r="BE120" s="175" t="str">
        <f>IF(Table2[[#This Row],[Counter Number]]="","",Table2[[#This Row],[Reduction Bus NOx Emissions (tons/yr)]]*Table2[[#This Row],[Remaining Life:]])</f>
        <v/>
      </c>
      <c r="BF120" s="189" t="str">
        <f>IF(Table2[[#This Row],[Counter Number]]="","",IF(Table2[[#This Row],[Lifetime NOx Reduction (tons)]]=0,"NA",Table2[[#This Row],[Upgrade Cost Per Unit]]/Table2[[#This Row],[Lifetime NOx Reduction (tons)]]))</f>
        <v/>
      </c>
      <c r="BG120" s="190" t="str">
        <f>IF(Table2[[#This Row],[Counter Number]]="","",Table2[[#This Row],[Annual Miles Traveled:]]*VLOOKUP(Table2[[#This Row],[Engine Model Year:]],EF!$A$2:$G$27,4,FALSE))</f>
        <v/>
      </c>
      <c r="BH120" s="173" t="str">
        <f>IF(Table2[[#This Row],[Counter Number]]="","",Table2[[#This Row],[Annual Miles Traveled:]]*IF(Table2[[#This Row],[New Engine Fuel Type:]]="ULSD",VLOOKUP(Table2[[#This Row],[New Engine Model Year:]],EFTable[],4,FALSE),VLOOKUP(Table2[[#This Row],[New Engine Fuel Type:]],EFTable[],4,FALSE)))</f>
        <v/>
      </c>
      <c r="BI120" s="191" t="str">
        <f>IF(Table2[[#This Row],[Counter Number]]="","",Table2[[#This Row],[Old Bus PM2.5 Emissions (tons/yr)]]-Table2[[#This Row],[New Bus PM2.5 Emissions (tons/yr)]])</f>
        <v/>
      </c>
      <c r="BJ120" s="192" t="str">
        <f>IF(Table2[[#This Row],[Counter Number]]="","",Table2[[#This Row],[Reduction Bus PM2.5 Emissions (tons/yr)]]/Table2[[#This Row],[Old Bus PM2.5 Emissions (tons/yr)]])</f>
        <v/>
      </c>
      <c r="BK120" s="193" t="str">
        <f>IF(Table2[[#This Row],[Counter Number]]="","",Table2[[#This Row],[Reduction Bus PM2.5 Emissions (tons/yr)]]*Table2[[#This Row],[Remaining Life:]])</f>
        <v/>
      </c>
      <c r="BL120" s="194" t="str">
        <f>IF(Table2[[#This Row],[Counter Number]]="","",IF(Table2[[#This Row],[Lifetime PM2.5 Reduction (tons)]]=0,"NA",Table2[[#This Row],[Upgrade Cost Per Unit]]/Table2[[#This Row],[Lifetime PM2.5 Reduction (tons)]]))</f>
        <v/>
      </c>
      <c r="BM120" s="179" t="str">
        <f>IF(Table2[[#This Row],[Counter Number]]="","",Table2[[#This Row],[Annual Miles Traveled:]]*VLOOKUP(Table2[[#This Row],[Engine Model Year:]],EF!$A$2:$G$40,5,FALSE))</f>
        <v/>
      </c>
      <c r="BN120" s="173" t="str">
        <f>IF(Table2[[#This Row],[Counter Number]]="","",Table2[[#This Row],[Annual Miles Traveled:]]*IF(Table2[[#This Row],[New Engine Fuel Type:]]="ULSD",VLOOKUP(Table2[[#This Row],[New Engine Model Year:]],EFTable[],5,FALSE),VLOOKUP(Table2[[#This Row],[New Engine Fuel Type:]],EFTable[],5,FALSE)))</f>
        <v/>
      </c>
      <c r="BO120" s="190" t="str">
        <f>IF(Table2[[#This Row],[Counter Number]]="","",Table2[[#This Row],[Old Bus HC Emissions (tons/yr)]]-Table2[[#This Row],[New Bus HC Emissions (tons/yr)]])</f>
        <v/>
      </c>
      <c r="BP120" s="188" t="str">
        <f>IF(Table2[[#This Row],[Counter Number]]="","",Table2[[#This Row],[Reduction Bus HC Emissions (tons/yr)]]/Table2[[#This Row],[Old Bus HC Emissions (tons/yr)]])</f>
        <v/>
      </c>
      <c r="BQ120" s="193" t="str">
        <f>IF(Table2[[#This Row],[Counter Number]]="","",Table2[[#This Row],[Reduction Bus HC Emissions (tons/yr)]]*Table2[[#This Row],[Remaining Life:]])</f>
        <v/>
      </c>
      <c r="BR120" s="194" t="str">
        <f>IF(Table2[[#This Row],[Counter Number]]="","",IF(Table2[[#This Row],[Lifetime HC Reduction (tons)]]=0,"NA",Table2[[#This Row],[Upgrade Cost Per Unit]]/Table2[[#This Row],[Lifetime HC Reduction (tons)]]))</f>
        <v/>
      </c>
      <c r="BS120" s="191" t="str">
        <f>IF(Table2[[#This Row],[Counter Number]]="","",Table2[[#This Row],[Annual Miles Traveled:]]*VLOOKUP(Table2[[#This Row],[Engine Model Year:]],EF!$A$2:$G$27,6,FALSE))</f>
        <v/>
      </c>
      <c r="BT120" s="173" t="str">
        <f>IF(Table2[[#This Row],[Counter Number]]="","",Table2[[#This Row],[Annual Miles Traveled:]]*IF(Table2[[#This Row],[New Engine Fuel Type:]]="ULSD",VLOOKUP(Table2[[#This Row],[New Engine Model Year:]],EFTable[],6,FALSE),VLOOKUP(Table2[[#This Row],[New Engine Fuel Type:]],EFTable[],6,FALSE)))</f>
        <v/>
      </c>
      <c r="BU120" s="190" t="str">
        <f>IF(Table2[[#This Row],[Counter Number]]="","",Table2[[#This Row],[Old Bus CO Emissions (tons/yr)]]-Table2[[#This Row],[New Bus CO Emissions (tons/yr)]])</f>
        <v/>
      </c>
      <c r="BV120" s="188" t="str">
        <f>IF(Table2[[#This Row],[Counter Number]]="","",Table2[[#This Row],[Reduction Bus CO Emissions (tons/yr)]]/Table2[[#This Row],[Old Bus CO Emissions (tons/yr)]])</f>
        <v/>
      </c>
      <c r="BW120" s="193" t="str">
        <f>IF(Table2[[#This Row],[Counter Number]]="","",Table2[[#This Row],[Reduction Bus CO Emissions (tons/yr)]]*Table2[[#This Row],[Remaining Life:]])</f>
        <v/>
      </c>
      <c r="BX120" s="194" t="str">
        <f>IF(Table2[[#This Row],[Counter Number]]="","",IF(Table2[[#This Row],[Lifetime CO Reduction (tons)]]=0,"NA",Table2[[#This Row],[Upgrade Cost Per Unit]]/Table2[[#This Row],[Lifetime CO Reduction (tons)]]))</f>
        <v/>
      </c>
      <c r="BY120" s="180" t="str">
        <f>IF(Table2[[#This Row],[Counter Number]]="","",Table2[[#This Row],[Old ULSD Used (gal):]]*VLOOKUP(Table2[[#This Row],[Engine Model Year:]],EF!$A$2:$G$27,7,FALSE))</f>
        <v/>
      </c>
      <c r="BZ12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0" s="195" t="str">
        <f>IF(Table2[[#This Row],[Counter Number]]="","",Table2[[#This Row],[Old Bus CO2 Emissions (tons/yr)]]-Table2[[#This Row],[New Bus CO2 Emissions (tons/yr)]])</f>
        <v/>
      </c>
      <c r="CB120" s="188" t="str">
        <f>IF(Table2[[#This Row],[Counter Number]]="","",Table2[[#This Row],[Reduction Bus CO2 Emissions (tons/yr)]]/Table2[[#This Row],[Old Bus CO2 Emissions (tons/yr)]])</f>
        <v/>
      </c>
      <c r="CC120" s="195" t="str">
        <f>IF(Table2[[#This Row],[Counter Number]]="","",Table2[[#This Row],[Reduction Bus CO2 Emissions (tons/yr)]]*Table2[[#This Row],[Remaining Life:]])</f>
        <v/>
      </c>
      <c r="CD120" s="194" t="str">
        <f>IF(Table2[[#This Row],[Counter Number]]="","",IF(Table2[[#This Row],[Lifetime CO2 Reduction (tons)]]=0,"NA",Table2[[#This Row],[Upgrade Cost Per Unit]]/Table2[[#This Row],[Lifetime CO2 Reduction (tons)]]))</f>
        <v/>
      </c>
      <c r="CE120" s="182" t="str">
        <f>IF(Table2[[#This Row],[Counter Number]]="","",IF(Table2[[#This Row],[New ULSD Used (gal):]]="",Table2[[#This Row],[Old ULSD Used (gal):]],Table2[[#This Row],[Old ULSD Used (gal):]]-Table2[[#This Row],[New ULSD Used (gal):]]))</f>
        <v/>
      </c>
      <c r="CF120" s="196" t="str">
        <f>IF(Table2[[#This Row],[Counter Number]]="","",Table2[[#This Row],[Diesel Fuel Reduction (gal/yr)]]/Table2[[#This Row],[Old ULSD Used (gal):]])</f>
        <v/>
      </c>
      <c r="CG120" s="197" t="str">
        <f>IF(Table2[[#This Row],[Counter Number]]="","",Table2[[#This Row],[Diesel Fuel Reduction (gal/yr)]]*Table2[[#This Row],[Remaining Life:]])</f>
        <v/>
      </c>
    </row>
    <row r="121" spans="1:85">
      <c r="A121" s="184" t="str">
        <f>IF(A120&lt;Application!$D$24,A120+1,"")</f>
        <v/>
      </c>
      <c r="B121" s="60" t="str">
        <f>IF(Table2[[#This Row],[Counter Number]]="","",Application!$D$16)</f>
        <v/>
      </c>
      <c r="C121" s="60" t="str">
        <f>IF(Table2[[#This Row],[Counter Number]]="","",Application!$D$14)</f>
        <v/>
      </c>
      <c r="D121" s="60" t="str">
        <f>IF(Table2[[#This Row],[Counter Number]]="","",Table1[[#This Row],[Old Bus Number]])</f>
        <v/>
      </c>
      <c r="E121" s="60" t="str">
        <f>IF(Table2[[#This Row],[Counter Number]]="","",Application!$D$15)</f>
        <v/>
      </c>
      <c r="F121" s="60" t="str">
        <f>IF(Table2[[#This Row],[Counter Number]]="","","On Highway")</f>
        <v/>
      </c>
      <c r="G121" s="60" t="str">
        <f>IF(Table2[[#This Row],[Counter Number]]="","",I121)</f>
        <v/>
      </c>
      <c r="H121" s="60" t="str">
        <f>IF(Table2[[#This Row],[Counter Number]]="","","Georgia")</f>
        <v/>
      </c>
      <c r="I121" s="60" t="str">
        <f>IF(Table2[[#This Row],[Counter Number]]="","",Application!$D$16)</f>
        <v/>
      </c>
      <c r="J121" s="60" t="str">
        <f>IF(Table2[[#This Row],[Counter Number]]="","",Application!$D$21)</f>
        <v/>
      </c>
      <c r="K121" s="60" t="str">
        <f>IF(Table2[[#This Row],[Counter Number]]="","",Application!$J$21)</f>
        <v/>
      </c>
      <c r="L121" s="60" t="str">
        <f>IF(Table2[[#This Row],[Counter Number]]="","","School Bus")</f>
        <v/>
      </c>
      <c r="M121" s="60" t="str">
        <f>IF(Table2[[#This Row],[Counter Number]]="","","School Bus")</f>
        <v/>
      </c>
      <c r="N121" s="60" t="str">
        <f>IF(Table2[[#This Row],[Counter Number]]="","",1)</f>
        <v/>
      </c>
      <c r="O121" s="60" t="str">
        <f>IF(Table2[[#This Row],[Counter Number]]="","",Table1[[#This Row],[Vehicle Identification Number(s):]])</f>
        <v/>
      </c>
      <c r="P121" s="60" t="str">
        <f>IF(Table2[[#This Row],[Counter Number]]="","",Table1[[#This Row],[Old Bus Manufacturer:]])</f>
        <v/>
      </c>
      <c r="Q121" s="60" t="str">
        <f>IF(Table2[[#This Row],[Counter Number]]="","",Table1[[#This Row],[Vehicle Model:]])</f>
        <v/>
      </c>
      <c r="R121" s="165" t="str">
        <f>IF(Table2[[#This Row],[Counter Number]]="","",Table1[[#This Row],[Vehicle Model Year:]])</f>
        <v/>
      </c>
      <c r="S121" s="60" t="str">
        <f>IF(Table2[[#This Row],[Counter Number]]="","",Table1[[#This Row],[Engine Serial Number(s):]])</f>
        <v/>
      </c>
      <c r="T121" s="60" t="str">
        <f>IF(Table2[[#This Row],[Counter Number]]="","",Table1[[#This Row],[Engine Make:]])</f>
        <v/>
      </c>
      <c r="U121" s="60" t="str">
        <f>IF(Table2[[#This Row],[Counter Number]]="","",Table1[[#This Row],[Engine Model:]])</f>
        <v/>
      </c>
      <c r="V121" s="165" t="str">
        <f>IF(Table2[[#This Row],[Counter Number]]="","",Table1[[#This Row],[Engine Model Year:]])</f>
        <v/>
      </c>
      <c r="W121" s="60" t="str">
        <f>IF(Table2[[#This Row],[Counter Number]]="","","NA")</f>
        <v/>
      </c>
      <c r="X121" s="165" t="str">
        <f>IF(Table2[[#This Row],[Counter Number]]="","",Table1[[#This Row],[Engine Horsepower (HP):]])</f>
        <v/>
      </c>
      <c r="Y121" s="165" t="str">
        <f>IF(Table2[[#This Row],[Counter Number]]="","",Table1[[#This Row],[Engine Cylinder Displacement (L):]]&amp;" L")</f>
        <v/>
      </c>
      <c r="Z121" s="165" t="str">
        <f>IF(Table2[[#This Row],[Counter Number]]="","",Table1[[#This Row],[Engine Number of Cylinders:]])</f>
        <v/>
      </c>
      <c r="AA121" s="166" t="str">
        <f>IF(Table2[[#This Row],[Counter Number]]="","",Table1[[#This Row],[Engine Family Name:]])</f>
        <v/>
      </c>
      <c r="AB121" s="60" t="str">
        <f>IF(Table2[[#This Row],[Counter Number]]="","","ULSD")</f>
        <v/>
      </c>
      <c r="AC121" s="167" t="str">
        <f>IF(Table2[[#This Row],[Counter Number]]="","",Table2[[#This Row],[Annual Miles Traveled:]]/Table1[[#This Row],[Old Fuel (mpg)]])</f>
        <v/>
      </c>
      <c r="AD121" s="60" t="str">
        <f>IF(Table2[[#This Row],[Counter Number]]="","","NA")</f>
        <v/>
      </c>
      <c r="AE121" s="168" t="str">
        <f>IF(Table2[[#This Row],[Counter Number]]="","",Table1[[#This Row],[Annual Miles Traveled]])</f>
        <v/>
      </c>
      <c r="AF121" s="169" t="str">
        <f>IF(Table2[[#This Row],[Counter Number]]="","",Table1[[#This Row],[Annual Idling Hours:]])</f>
        <v/>
      </c>
      <c r="AG121" s="60" t="str">
        <f>IF(Table2[[#This Row],[Counter Number]]="","","NA")</f>
        <v/>
      </c>
      <c r="AH121" s="165" t="str">
        <f>IF(Table2[[#This Row],[Counter Number]]="","",IF(Application!$J$25="Set Policy",Table1[[#This Row],[Remaining Life (years)         Set Policy]],Table1[[#This Row],[Remaining Life (years)               Case-by-Case]]))</f>
        <v/>
      </c>
      <c r="AI121" s="165" t="str">
        <f>IF(Table2[[#This Row],[Counter Number]]="","",IF(Application!$J$25="Case-by-Case","NA",Table2[[#This Row],[Fiscal Year of EPA Funds Used:]]+Table2[[#This Row],[Remaining Life:]]))</f>
        <v/>
      </c>
      <c r="AJ121" s="165"/>
      <c r="AK121" s="170" t="str">
        <f>IF(Table2[[#This Row],[Counter Number]]="","",Application!$D$14+1)</f>
        <v/>
      </c>
      <c r="AL121" s="60" t="str">
        <f>IF(Table2[[#This Row],[Counter Number]]="","","Vehicle Replacement")</f>
        <v/>
      </c>
      <c r="AM12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1" s="171" t="str">
        <f>IF(Table2[[#This Row],[Counter Number]]="","",Table1[[#This Row],[Cost of New Bus:]])</f>
        <v/>
      </c>
      <c r="AO121" s="60" t="str">
        <f>IF(Table2[[#This Row],[Counter Number]]="","","NA")</f>
        <v/>
      </c>
      <c r="AP121" s="165" t="str">
        <f>IF(Table2[[#This Row],[Counter Number]]="","",Table1[[#This Row],[New Engine Model Year:]])</f>
        <v/>
      </c>
      <c r="AQ121" s="60" t="str">
        <f>IF(Table2[[#This Row],[Counter Number]]="","","NA")</f>
        <v/>
      </c>
      <c r="AR121" s="165" t="str">
        <f>IF(Table2[[#This Row],[Counter Number]]="","",Table1[[#This Row],[New Engine Horsepower (HP):]])</f>
        <v/>
      </c>
      <c r="AS121" s="60" t="str">
        <f>IF(Table2[[#This Row],[Counter Number]]="","","NA")</f>
        <v/>
      </c>
      <c r="AT121" s="165" t="str">
        <f>IF(Table2[[#This Row],[Counter Number]]="","",Table1[[#This Row],[New Engine Cylinder Displacement (L):]]&amp;" L")</f>
        <v/>
      </c>
      <c r="AU121" s="114" t="str">
        <f>IF(Table2[[#This Row],[Counter Number]]="","",Table1[[#This Row],[New Engine Number of Cylinders:]])</f>
        <v/>
      </c>
      <c r="AV121" s="60" t="str">
        <f>IF(Table2[[#This Row],[Counter Number]]="","",Table1[[#This Row],[New Engine Family Name:]])</f>
        <v/>
      </c>
      <c r="AW12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1" s="60" t="str">
        <f>IF(Table2[[#This Row],[Counter Number]]="","","NA")</f>
        <v/>
      </c>
      <c r="AY121" s="172" t="str">
        <f>IF(Table2[[#This Row],[Counter Number]]="","",IF(Table2[[#This Row],[New Engine Fuel Type:]]="ULSD",Table1[[#This Row],[Annual Miles Traveled]]/Table1[[#This Row],[New Fuel (mpg) if Diesel]],""))</f>
        <v/>
      </c>
      <c r="AZ121" s="60"/>
      <c r="BA121" s="173" t="str">
        <f>IF(Table2[[#This Row],[Counter Number]]="","",Table2[[#This Row],[Annual Miles Traveled:]]*VLOOKUP(Table2[[#This Row],[Engine Model Year:]],EFTable[],3,FALSE))</f>
        <v/>
      </c>
      <c r="BB121" s="173" t="str">
        <f>IF(Table2[[#This Row],[Counter Number]]="","",Table2[[#This Row],[Annual Miles Traveled:]]*IF(Table2[[#This Row],[New Engine Fuel Type:]]="ULSD",VLOOKUP(Table2[[#This Row],[New Engine Model Year:]],EFTable[],3,FALSE),VLOOKUP(Table2[[#This Row],[New Engine Fuel Type:]],EFTable[],3,FALSE)))</f>
        <v/>
      </c>
      <c r="BC121" s="187" t="str">
        <f>IF(Table2[[#This Row],[Counter Number]]="","",Table2[[#This Row],[Old Bus NOx Emissions (tons/yr)]]-Table2[[#This Row],[New Bus NOx Emissions (tons/yr)]])</f>
        <v/>
      </c>
      <c r="BD121" s="188" t="str">
        <f>IF(Table2[[#This Row],[Counter Number]]="","",Table2[[#This Row],[Reduction Bus NOx Emissions (tons/yr)]]/Table2[[#This Row],[Old Bus NOx Emissions (tons/yr)]])</f>
        <v/>
      </c>
      <c r="BE121" s="175" t="str">
        <f>IF(Table2[[#This Row],[Counter Number]]="","",Table2[[#This Row],[Reduction Bus NOx Emissions (tons/yr)]]*Table2[[#This Row],[Remaining Life:]])</f>
        <v/>
      </c>
      <c r="BF121" s="189" t="str">
        <f>IF(Table2[[#This Row],[Counter Number]]="","",IF(Table2[[#This Row],[Lifetime NOx Reduction (tons)]]=0,"NA",Table2[[#This Row],[Upgrade Cost Per Unit]]/Table2[[#This Row],[Lifetime NOx Reduction (tons)]]))</f>
        <v/>
      </c>
      <c r="BG121" s="190" t="str">
        <f>IF(Table2[[#This Row],[Counter Number]]="","",Table2[[#This Row],[Annual Miles Traveled:]]*VLOOKUP(Table2[[#This Row],[Engine Model Year:]],EF!$A$2:$G$27,4,FALSE))</f>
        <v/>
      </c>
      <c r="BH121" s="173" t="str">
        <f>IF(Table2[[#This Row],[Counter Number]]="","",Table2[[#This Row],[Annual Miles Traveled:]]*IF(Table2[[#This Row],[New Engine Fuel Type:]]="ULSD",VLOOKUP(Table2[[#This Row],[New Engine Model Year:]],EFTable[],4,FALSE),VLOOKUP(Table2[[#This Row],[New Engine Fuel Type:]],EFTable[],4,FALSE)))</f>
        <v/>
      </c>
      <c r="BI121" s="191" t="str">
        <f>IF(Table2[[#This Row],[Counter Number]]="","",Table2[[#This Row],[Old Bus PM2.5 Emissions (tons/yr)]]-Table2[[#This Row],[New Bus PM2.5 Emissions (tons/yr)]])</f>
        <v/>
      </c>
      <c r="BJ121" s="192" t="str">
        <f>IF(Table2[[#This Row],[Counter Number]]="","",Table2[[#This Row],[Reduction Bus PM2.5 Emissions (tons/yr)]]/Table2[[#This Row],[Old Bus PM2.5 Emissions (tons/yr)]])</f>
        <v/>
      </c>
      <c r="BK121" s="193" t="str">
        <f>IF(Table2[[#This Row],[Counter Number]]="","",Table2[[#This Row],[Reduction Bus PM2.5 Emissions (tons/yr)]]*Table2[[#This Row],[Remaining Life:]])</f>
        <v/>
      </c>
      <c r="BL121" s="194" t="str">
        <f>IF(Table2[[#This Row],[Counter Number]]="","",IF(Table2[[#This Row],[Lifetime PM2.5 Reduction (tons)]]=0,"NA",Table2[[#This Row],[Upgrade Cost Per Unit]]/Table2[[#This Row],[Lifetime PM2.5 Reduction (tons)]]))</f>
        <v/>
      </c>
      <c r="BM121" s="179" t="str">
        <f>IF(Table2[[#This Row],[Counter Number]]="","",Table2[[#This Row],[Annual Miles Traveled:]]*VLOOKUP(Table2[[#This Row],[Engine Model Year:]],EF!$A$2:$G$40,5,FALSE))</f>
        <v/>
      </c>
      <c r="BN121" s="173" t="str">
        <f>IF(Table2[[#This Row],[Counter Number]]="","",Table2[[#This Row],[Annual Miles Traveled:]]*IF(Table2[[#This Row],[New Engine Fuel Type:]]="ULSD",VLOOKUP(Table2[[#This Row],[New Engine Model Year:]],EFTable[],5,FALSE),VLOOKUP(Table2[[#This Row],[New Engine Fuel Type:]],EFTable[],5,FALSE)))</f>
        <v/>
      </c>
      <c r="BO121" s="190" t="str">
        <f>IF(Table2[[#This Row],[Counter Number]]="","",Table2[[#This Row],[Old Bus HC Emissions (tons/yr)]]-Table2[[#This Row],[New Bus HC Emissions (tons/yr)]])</f>
        <v/>
      </c>
      <c r="BP121" s="188" t="str">
        <f>IF(Table2[[#This Row],[Counter Number]]="","",Table2[[#This Row],[Reduction Bus HC Emissions (tons/yr)]]/Table2[[#This Row],[Old Bus HC Emissions (tons/yr)]])</f>
        <v/>
      </c>
      <c r="BQ121" s="193" t="str">
        <f>IF(Table2[[#This Row],[Counter Number]]="","",Table2[[#This Row],[Reduction Bus HC Emissions (tons/yr)]]*Table2[[#This Row],[Remaining Life:]])</f>
        <v/>
      </c>
      <c r="BR121" s="194" t="str">
        <f>IF(Table2[[#This Row],[Counter Number]]="","",IF(Table2[[#This Row],[Lifetime HC Reduction (tons)]]=0,"NA",Table2[[#This Row],[Upgrade Cost Per Unit]]/Table2[[#This Row],[Lifetime HC Reduction (tons)]]))</f>
        <v/>
      </c>
      <c r="BS121" s="191" t="str">
        <f>IF(Table2[[#This Row],[Counter Number]]="","",Table2[[#This Row],[Annual Miles Traveled:]]*VLOOKUP(Table2[[#This Row],[Engine Model Year:]],EF!$A$2:$G$27,6,FALSE))</f>
        <v/>
      </c>
      <c r="BT121" s="173" t="str">
        <f>IF(Table2[[#This Row],[Counter Number]]="","",Table2[[#This Row],[Annual Miles Traveled:]]*IF(Table2[[#This Row],[New Engine Fuel Type:]]="ULSD",VLOOKUP(Table2[[#This Row],[New Engine Model Year:]],EFTable[],6,FALSE),VLOOKUP(Table2[[#This Row],[New Engine Fuel Type:]],EFTable[],6,FALSE)))</f>
        <v/>
      </c>
      <c r="BU121" s="190" t="str">
        <f>IF(Table2[[#This Row],[Counter Number]]="","",Table2[[#This Row],[Old Bus CO Emissions (tons/yr)]]-Table2[[#This Row],[New Bus CO Emissions (tons/yr)]])</f>
        <v/>
      </c>
      <c r="BV121" s="188" t="str">
        <f>IF(Table2[[#This Row],[Counter Number]]="","",Table2[[#This Row],[Reduction Bus CO Emissions (tons/yr)]]/Table2[[#This Row],[Old Bus CO Emissions (tons/yr)]])</f>
        <v/>
      </c>
      <c r="BW121" s="193" t="str">
        <f>IF(Table2[[#This Row],[Counter Number]]="","",Table2[[#This Row],[Reduction Bus CO Emissions (tons/yr)]]*Table2[[#This Row],[Remaining Life:]])</f>
        <v/>
      </c>
      <c r="BX121" s="194" t="str">
        <f>IF(Table2[[#This Row],[Counter Number]]="","",IF(Table2[[#This Row],[Lifetime CO Reduction (tons)]]=0,"NA",Table2[[#This Row],[Upgrade Cost Per Unit]]/Table2[[#This Row],[Lifetime CO Reduction (tons)]]))</f>
        <v/>
      </c>
      <c r="BY121" s="180" t="str">
        <f>IF(Table2[[#This Row],[Counter Number]]="","",Table2[[#This Row],[Old ULSD Used (gal):]]*VLOOKUP(Table2[[#This Row],[Engine Model Year:]],EF!$A$2:$G$27,7,FALSE))</f>
        <v/>
      </c>
      <c r="BZ12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1" s="195" t="str">
        <f>IF(Table2[[#This Row],[Counter Number]]="","",Table2[[#This Row],[Old Bus CO2 Emissions (tons/yr)]]-Table2[[#This Row],[New Bus CO2 Emissions (tons/yr)]])</f>
        <v/>
      </c>
      <c r="CB121" s="188" t="str">
        <f>IF(Table2[[#This Row],[Counter Number]]="","",Table2[[#This Row],[Reduction Bus CO2 Emissions (tons/yr)]]/Table2[[#This Row],[Old Bus CO2 Emissions (tons/yr)]])</f>
        <v/>
      </c>
      <c r="CC121" s="195" t="str">
        <f>IF(Table2[[#This Row],[Counter Number]]="","",Table2[[#This Row],[Reduction Bus CO2 Emissions (tons/yr)]]*Table2[[#This Row],[Remaining Life:]])</f>
        <v/>
      </c>
      <c r="CD121" s="194" t="str">
        <f>IF(Table2[[#This Row],[Counter Number]]="","",IF(Table2[[#This Row],[Lifetime CO2 Reduction (tons)]]=0,"NA",Table2[[#This Row],[Upgrade Cost Per Unit]]/Table2[[#This Row],[Lifetime CO2 Reduction (tons)]]))</f>
        <v/>
      </c>
      <c r="CE121" s="182" t="str">
        <f>IF(Table2[[#This Row],[Counter Number]]="","",IF(Table2[[#This Row],[New ULSD Used (gal):]]="",Table2[[#This Row],[Old ULSD Used (gal):]],Table2[[#This Row],[Old ULSD Used (gal):]]-Table2[[#This Row],[New ULSD Used (gal):]]))</f>
        <v/>
      </c>
      <c r="CF121" s="196" t="str">
        <f>IF(Table2[[#This Row],[Counter Number]]="","",Table2[[#This Row],[Diesel Fuel Reduction (gal/yr)]]/Table2[[#This Row],[Old ULSD Used (gal):]])</f>
        <v/>
      </c>
      <c r="CG121" s="197" t="str">
        <f>IF(Table2[[#This Row],[Counter Number]]="","",Table2[[#This Row],[Diesel Fuel Reduction (gal/yr)]]*Table2[[#This Row],[Remaining Life:]])</f>
        <v/>
      </c>
    </row>
    <row r="122" spans="1:85">
      <c r="A122" s="184" t="str">
        <f>IF(A121&lt;Application!$D$24,A121+1,"")</f>
        <v/>
      </c>
      <c r="B122" s="60" t="str">
        <f>IF(Table2[[#This Row],[Counter Number]]="","",Application!$D$16)</f>
        <v/>
      </c>
      <c r="C122" s="60" t="str">
        <f>IF(Table2[[#This Row],[Counter Number]]="","",Application!$D$14)</f>
        <v/>
      </c>
      <c r="D122" s="60" t="str">
        <f>IF(Table2[[#This Row],[Counter Number]]="","",Table1[[#This Row],[Old Bus Number]])</f>
        <v/>
      </c>
      <c r="E122" s="60" t="str">
        <f>IF(Table2[[#This Row],[Counter Number]]="","",Application!$D$15)</f>
        <v/>
      </c>
      <c r="F122" s="60" t="str">
        <f>IF(Table2[[#This Row],[Counter Number]]="","","On Highway")</f>
        <v/>
      </c>
      <c r="G122" s="60" t="str">
        <f>IF(Table2[[#This Row],[Counter Number]]="","",I122)</f>
        <v/>
      </c>
      <c r="H122" s="60" t="str">
        <f>IF(Table2[[#This Row],[Counter Number]]="","","Georgia")</f>
        <v/>
      </c>
      <c r="I122" s="60" t="str">
        <f>IF(Table2[[#This Row],[Counter Number]]="","",Application!$D$16)</f>
        <v/>
      </c>
      <c r="J122" s="60" t="str">
        <f>IF(Table2[[#This Row],[Counter Number]]="","",Application!$D$21)</f>
        <v/>
      </c>
      <c r="K122" s="60" t="str">
        <f>IF(Table2[[#This Row],[Counter Number]]="","",Application!$J$21)</f>
        <v/>
      </c>
      <c r="L122" s="60" t="str">
        <f>IF(Table2[[#This Row],[Counter Number]]="","","School Bus")</f>
        <v/>
      </c>
      <c r="M122" s="60" t="str">
        <f>IF(Table2[[#This Row],[Counter Number]]="","","School Bus")</f>
        <v/>
      </c>
      <c r="N122" s="60" t="str">
        <f>IF(Table2[[#This Row],[Counter Number]]="","",1)</f>
        <v/>
      </c>
      <c r="O122" s="60" t="str">
        <f>IF(Table2[[#This Row],[Counter Number]]="","",Table1[[#This Row],[Vehicle Identification Number(s):]])</f>
        <v/>
      </c>
      <c r="P122" s="60" t="str">
        <f>IF(Table2[[#This Row],[Counter Number]]="","",Table1[[#This Row],[Old Bus Manufacturer:]])</f>
        <v/>
      </c>
      <c r="Q122" s="60" t="str">
        <f>IF(Table2[[#This Row],[Counter Number]]="","",Table1[[#This Row],[Vehicle Model:]])</f>
        <v/>
      </c>
      <c r="R122" s="165" t="str">
        <f>IF(Table2[[#This Row],[Counter Number]]="","",Table1[[#This Row],[Vehicle Model Year:]])</f>
        <v/>
      </c>
      <c r="S122" s="60" t="str">
        <f>IF(Table2[[#This Row],[Counter Number]]="","",Table1[[#This Row],[Engine Serial Number(s):]])</f>
        <v/>
      </c>
      <c r="T122" s="60" t="str">
        <f>IF(Table2[[#This Row],[Counter Number]]="","",Table1[[#This Row],[Engine Make:]])</f>
        <v/>
      </c>
      <c r="U122" s="60" t="str">
        <f>IF(Table2[[#This Row],[Counter Number]]="","",Table1[[#This Row],[Engine Model:]])</f>
        <v/>
      </c>
      <c r="V122" s="165" t="str">
        <f>IF(Table2[[#This Row],[Counter Number]]="","",Table1[[#This Row],[Engine Model Year:]])</f>
        <v/>
      </c>
      <c r="W122" s="60" t="str">
        <f>IF(Table2[[#This Row],[Counter Number]]="","","NA")</f>
        <v/>
      </c>
      <c r="X122" s="165" t="str">
        <f>IF(Table2[[#This Row],[Counter Number]]="","",Table1[[#This Row],[Engine Horsepower (HP):]])</f>
        <v/>
      </c>
      <c r="Y122" s="165" t="str">
        <f>IF(Table2[[#This Row],[Counter Number]]="","",Table1[[#This Row],[Engine Cylinder Displacement (L):]]&amp;" L")</f>
        <v/>
      </c>
      <c r="Z122" s="165" t="str">
        <f>IF(Table2[[#This Row],[Counter Number]]="","",Table1[[#This Row],[Engine Number of Cylinders:]])</f>
        <v/>
      </c>
      <c r="AA122" s="166" t="str">
        <f>IF(Table2[[#This Row],[Counter Number]]="","",Table1[[#This Row],[Engine Family Name:]])</f>
        <v/>
      </c>
      <c r="AB122" s="60" t="str">
        <f>IF(Table2[[#This Row],[Counter Number]]="","","ULSD")</f>
        <v/>
      </c>
      <c r="AC122" s="167" t="str">
        <f>IF(Table2[[#This Row],[Counter Number]]="","",Table2[[#This Row],[Annual Miles Traveled:]]/Table1[[#This Row],[Old Fuel (mpg)]])</f>
        <v/>
      </c>
      <c r="AD122" s="60" t="str">
        <f>IF(Table2[[#This Row],[Counter Number]]="","","NA")</f>
        <v/>
      </c>
      <c r="AE122" s="168" t="str">
        <f>IF(Table2[[#This Row],[Counter Number]]="","",Table1[[#This Row],[Annual Miles Traveled]])</f>
        <v/>
      </c>
      <c r="AF122" s="169" t="str">
        <f>IF(Table2[[#This Row],[Counter Number]]="","",Table1[[#This Row],[Annual Idling Hours:]])</f>
        <v/>
      </c>
      <c r="AG122" s="60" t="str">
        <f>IF(Table2[[#This Row],[Counter Number]]="","","NA")</f>
        <v/>
      </c>
      <c r="AH122" s="165" t="str">
        <f>IF(Table2[[#This Row],[Counter Number]]="","",IF(Application!$J$25="Set Policy",Table1[[#This Row],[Remaining Life (years)         Set Policy]],Table1[[#This Row],[Remaining Life (years)               Case-by-Case]]))</f>
        <v/>
      </c>
      <c r="AI122" s="165" t="str">
        <f>IF(Table2[[#This Row],[Counter Number]]="","",IF(Application!$J$25="Case-by-Case","NA",Table2[[#This Row],[Fiscal Year of EPA Funds Used:]]+Table2[[#This Row],[Remaining Life:]]))</f>
        <v/>
      </c>
      <c r="AJ122" s="165"/>
      <c r="AK122" s="170" t="str">
        <f>IF(Table2[[#This Row],[Counter Number]]="","",Application!$D$14+1)</f>
        <v/>
      </c>
      <c r="AL122" s="60" t="str">
        <f>IF(Table2[[#This Row],[Counter Number]]="","","Vehicle Replacement")</f>
        <v/>
      </c>
      <c r="AM12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2" s="171" t="str">
        <f>IF(Table2[[#This Row],[Counter Number]]="","",Table1[[#This Row],[Cost of New Bus:]])</f>
        <v/>
      </c>
      <c r="AO122" s="60" t="str">
        <f>IF(Table2[[#This Row],[Counter Number]]="","","NA")</f>
        <v/>
      </c>
      <c r="AP122" s="165" t="str">
        <f>IF(Table2[[#This Row],[Counter Number]]="","",Table1[[#This Row],[New Engine Model Year:]])</f>
        <v/>
      </c>
      <c r="AQ122" s="60" t="str">
        <f>IF(Table2[[#This Row],[Counter Number]]="","","NA")</f>
        <v/>
      </c>
      <c r="AR122" s="165" t="str">
        <f>IF(Table2[[#This Row],[Counter Number]]="","",Table1[[#This Row],[New Engine Horsepower (HP):]])</f>
        <v/>
      </c>
      <c r="AS122" s="60" t="str">
        <f>IF(Table2[[#This Row],[Counter Number]]="","","NA")</f>
        <v/>
      </c>
      <c r="AT122" s="165" t="str">
        <f>IF(Table2[[#This Row],[Counter Number]]="","",Table1[[#This Row],[New Engine Cylinder Displacement (L):]]&amp;" L")</f>
        <v/>
      </c>
      <c r="AU122" s="114" t="str">
        <f>IF(Table2[[#This Row],[Counter Number]]="","",Table1[[#This Row],[New Engine Number of Cylinders:]])</f>
        <v/>
      </c>
      <c r="AV122" s="60" t="str">
        <f>IF(Table2[[#This Row],[Counter Number]]="","",Table1[[#This Row],[New Engine Family Name:]])</f>
        <v/>
      </c>
      <c r="AW12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2" s="60" t="str">
        <f>IF(Table2[[#This Row],[Counter Number]]="","","NA")</f>
        <v/>
      </c>
      <c r="AY122" s="172" t="str">
        <f>IF(Table2[[#This Row],[Counter Number]]="","",IF(Table2[[#This Row],[New Engine Fuel Type:]]="ULSD",Table1[[#This Row],[Annual Miles Traveled]]/Table1[[#This Row],[New Fuel (mpg) if Diesel]],""))</f>
        <v/>
      </c>
      <c r="AZ122" s="60"/>
      <c r="BA122" s="173" t="str">
        <f>IF(Table2[[#This Row],[Counter Number]]="","",Table2[[#This Row],[Annual Miles Traveled:]]*VLOOKUP(Table2[[#This Row],[Engine Model Year:]],EFTable[],3,FALSE))</f>
        <v/>
      </c>
      <c r="BB122" s="173" t="str">
        <f>IF(Table2[[#This Row],[Counter Number]]="","",Table2[[#This Row],[Annual Miles Traveled:]]*IF(Table2[[#This Row],[New Engine Fuel Type:]]="ULSD",VLOOKUP(Table2[[#This Row],[New Engine Model Year:]],EFTable[],3,FALSE),VLOOKUP(Table2[[#This Row],[New Engine Fuel Type:]],EFTable[],3,FALSE)))</f>
        <v/>
      </c>
      <c r="BC122" s="187" t="str">
        <f>IF(Table2[[#This Row],[Counter Number]]="","",Table2[[#This Row],[Old Bus NOx Emissions (tons/yr)]]-Table2[[#This Row],[New Bus NOx Emissions (tons/yr)]])</f>
        <v/>
      </c>
      <c r="BD122" s="188" t="str">
        <f>IF(Table2[[#This Row],[Counter Number]]="","",Table2[[#This Row],[Reduction Bus NOx Emissions (tons/yr)]]/Table2[[#This Row],[Old Bus NOx Emissions (tons/yr)]])</f>
        <v/>
      </c>
      <c r="BE122" s="175" t="str">
        <f>IF(Table2[[#This Row],[Counter Number]]="","",Table2[[#This Row],[Reduction Bus NOx Emissions (tons/yr)]]*Table2[[#This Row],[Remaining Life:]])</f>
        <v/>
      </c>
      <c r="BF122" s="189" t="str">
        <f>IF(Table2[[#This Row],[Counter Number]]="","",IF(Table2[[#This Row],[Lifetime NOx Reduction (tons)]]=0,"NA",Table2[[#This Row],[Upgrade Cost Per Unit]]/Table2[[#This Row],[Lifetime NOx Reduction (tons)]]))</f>
        <v/>
      </c>
      <c r="BG122" s="190" t="str">
        <f>IF(Table2[[#This Row],[Counter Number]]="","",Table2[[#This Row],[Annual Miles Traveled:]]*VLOOKUP(Table2[[#This Row],[Engine Model Year:]],EF!$A$2:$G$27,4,FALSE))</f>
        <v/>
      </c>
      <c r="BH122" s="173" t="str">
        <f>IF(Table2[[#This Row],[Counter Number]]="","",Table2[[#This Row],[Annual Miles Traveled:]]*IF(Table2[[#This Row],[New Engine Fuel Type:]]="ULSD",VLOOKUP(Table2[[#This Row],[New Engine Model Year:]],EFTable[],4,FALSE),VLOOKUP(Table2[[#This Row],[New Engine Fuel Type:]],EFTable[],4,FALSE)))</f>
        <v/>
      </c>
      <c r="BI122" s="191" t="str">
        <f>IF(Table2[[#This Row],[Counter Number]]="","",Table2[[#This Row],[Old Bus PM2.5 Emissions (tons/yr)]]-Table2[[#This Row],[New Bus PM2.5 Emissions (tons/yr)]])</f>
        <v/>
      </c>
      <c r="BJ122" s="192" t="str">
        <f>IF(Table2[[#This Row],[Counter Number]]="","",Table2[[#This Row],[Reduction Bus PM2.5 Emissions (tons/yr)]]/Table2[[#This Row],[Old Bus PM2.5 Emissions (tons/yr)]])</f>
        <v/>
      </c>
      <c r="BK122" s="193" t="str">
        <f>IF(Table2[[#This Row],[Counter Number]]="","",Table2[[#This Row],[Reduction Bus PM2.5 Emissions (tons/yr)]]*Table2[[#This Row],[Remaining Life:]])</f>
        <v/>
      </c>
      <c r="BL122" s="194" t="str">
        <f>IF(Table2[[#This Row],[Counter Number]]="","",IF(Table2[[#This Row],[Lifetime PM2.5 Reduction (tons)]]=0,"NA",Table2[[#This Row],[Upgrade Cost Per Unit]]/Table2[[#This Row],[Lifetime PM2.5 Reduction (tons)]]))</f>
        <v/>
      </c>
      <c r="BM122" s="179" t="str">
        <f>IF(Table2[[#This Row],[Counter Number]]="","",Table2[[#This Row],[Annual Miles Traveled:]]*VLOOKUP(Table2[[#This Row],[Engine Model Year:]],EF!$A$2:$G$40,5,FALSE))</f>
        <v/>
      </c>
      <c r="BN122" s="173" t="str">
        <f>IF(Table2[[#This Row],[Counter Number]]="","",Table2[[#This Row],[Annual Miles Traveled:]]*IF(Table2[[#This Row],[New Engine Fuel Type:]]="ULSD",VLOOKUP(Table2[[#This Row],[New Engine Model Year:]],EFTable[],5,FALSE),VLOOKUP(Table2[[#This Row],[New Engine Fuel Type:]],EFTable[],5,FALSE)))</f>
        <v/>
      </c>
      <c r="BO122" s="190" t="str">
        <f>IF(Table2[[#This Row],[Counter Number]]="","",Table2[[#This Row],[Old Bus HC Emissions (tons/yr)]]-Table2[[#This Row],[New Bus HC Emissions (tons/yr)]])</f>
        <v/>
      </c>
      <c r="BP122" s="188" t="str">
        <f>IF(Table2[[#This Row],[Counter Number]]="","",Table2[[#This Row],[Reduction Bus HC Emissions (tons/yr)]]/Table2[[#This Row],[Old Bus HC Emissions (tons/yr)]])</f>
        <v/>
      </c>
      <c r="BQ122" s="193" t="str">
        <f>IF(Table2[[#This Row],[Counter Number]]="","",Table2[[#This Row],[Reduction Bus HC Emissions (tons/yr)]]*Table2[[#This Row],[Remaining Life:]])</f>
        <v/>
      </c>
      <c r="BR122" s="194" t="str">
        <f>IF(Table2[[#This Row],[Counter Number]]="","",IF(Table2[[#This Row],[Lifetime HC Reduction (tons)]]=0,"NA",Table2[[#This Row],[Upgrade Cost Per Unit]]/Table2[[#This Row],[Lifetime HC Reduction (tons)]]))</f>
        <v/>
      </c>
      <c r="BS122" s="191" t="str">
        <f>IF(Table2[[#This Row],[Counter Number]]="","",Table2[[#This Row],[Annual Miles Traveled:]]*VLOOKUP(Table2[[#This Row],[Engine Model Year:]],EF!$A$2:$G$27,6,FALSE))</f>
        <v/>
      </c>
      <c r="BT122" s="173" t="str">
        <f>IF(Table2[[#This Row],[Counter Number]]="","",Table2[[#This Row],[Annual Miles Traveled:]]*IF(Table2[[#This Row],[New Engine Fuel Type:]]="ULSD",VLOOKUP(Table2[[#This Row],[New Engine Model Year:]],EFTable[],6,FALSE),VLOOKUP(Table2[[#This Row],[New Engine Fuel Type:]],EFTable[],6,FALSE)))</f>
        <v/>
      </c>
      <c r="BU122" s="190" t="str">
        <f>IF(Table2[[#This Row],[Counter Number]]="","",Table2[[#This Row],[Old Bus CO Emissions (tons/yr)]]-Table2[[#This Row],[New Bus CO Emissions (tons/yr)]])</f>
        <v/>
      </c>
      <c r="BV122" s="188" t="str">
        <f>IF(Table2[[#This Row],[Counter Number]]="","",Table2[[#This Row],[Reduction Bus CO Emissions (tons/yr)]]/Table2[[#This Row],[Old Bus CO Emissions (tons/yr)]])</f>
        <v/>
      </c>
      <c r="BW122" s="193" t="str">
        <f>IF(Table2[[#This Row],[Counter Number]]="","",Table2[[#This Row],[Reduction Bus CO Emissions (tons/yr)]]*Table2[[#This Row],[Remaining Life:]])</f>
        <v/>
      </c>
      <c r="BX122" s="194" t="str">
        <f>IF(Table2[[#This Row],[Counter Number]]="","",IF(Table2[[#This Row],[Lifetime CO Reduction (tons)]]=0,"NA",Table2[[#This Row],[Upgrade Cost Per Unit]]/Table2[[#This Row],[Lifetime CO Reduction (tons)]]))</f>
        <v/>
      </c>
      <c r="BY122" s="180" t="str">
        <f>IF(Table2[[#This Row],[Counter Number]]="","",Table2[[#This Row],[Old ULSD Used (gal):]]*VLOOKUP(Table2[[#This Row],[Engine Model Year:]],EF!$A$2:$G$27,7,FALSE))</f>
        <v/>
      </c>
      <c r="BZ12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2" s="195" t="str">
        <f>IF(Table2[[#This Row],[Counter Number]]="","",Table2[[#This Row],[Old Bus CO2 Emissions (tons/yr)]]-Table2[[#This Row],[New Bus CO2 Emissions (tons/yr)]])</f>
        <v/>
      </c>
      <c r="CB122" s="188" t="str">
        <f>IF(Table2[[#This Row],[Counter Number]]="","",Table2[[#This Row],[Reduction Bus CO2 Emissions (tons/yr)]]/Table2[[#This Row],[Old Bus CO2 Emissions (tons/yr)]])</f>
        <v/>
      </c>
      <c r="CC122" s="195" t="str">
        <f>IF(Table2[[#This Row],[Counter Number]]="","",Table2[[#This Row],[Reduction Bus CO2 Emissions (tons/yr)]]*Table2[[#This Row],[Remaining Life:]])</f>
        <v/>
      </c>
      <c r="CD122" s="194" t="str">
        <f>IF(Table2[[#This Row],[Counter Number]]="","",IF(Table2[[#This Row],[Lifetime CO2 Reduction (tons)]]=0,"NA",Table2[[#This Row],[Upgrade Cost Per Unit]]/Table2[[#This Row],[Lifetime CO2 Reduction (tons)]]))</f>
        <v/>
      </c>
      <c r="CE122" s="182" t="str">
        <f>IF(Table2[[#This Row],[Counter Number]]="","",IF(Table2[[#This Row],[New ULSD Used (gal):]]="",Table2[[#This Row],[Old ULSD Used (gal):]],Table2[[#This Row],[Old ULSD Used (gal):]]-Table2[[#This Row],[New ULSD Used (gal):]]))</f>
        <v/>
      </c>
      <c r="CF122" s="196" t="str">
        <f>IF(Table2[[#This Row],[Counter Number]]="","",Table2[[#This Row],[Diesel Fuel Reduction (gal/yr)]]/Table2[[#This Row],[Old ULSD Used (gal):]])</f>
        <v/>
      </c>
      <c r="CG122" s="197" t="str">
        <f>IF(Table2[[#This Row],[Counter Number]]="","",Table2[[#This Row],[Diesel Fuel Reduction (gal/yr)]]*Table2[[#This Row],[Remaining Life:]])</f>
        <v/>
      </c>
    </row>
    <row r="123" spans="1:85">
      <c r="A123" s="184" t="str">
        <f>IF(A122&lt;Application!$D$24,A122+1,"")</f>
        <v/>
      </c>
      <c r="B123" s="60" t="str">
        <f>IF(Table2[[#This Row],[Counter Number]]="","",Application!$D$16)</f>
        <v/>
      </c>
      <c r="C123" s="60" t="str">
        <f>IF(Table2[[#This Row],[Counter Number]]="","",Application!$D$14)</f>
        <v/>
      </c>
      <c r="D123" s="60" t="str">
        <f>IF(Table2[[#This Row],[Counter Number]]="","",Table1[[#This Row],[Old Bus Number]])</f>
        <v/>
      </c>
      <c r="E123" s="60" t="str">
        <f>IF(Table2[[#This Row],[Counter Number]]="","",Application!$D$15)</f>
        <v/>
      </c>
      <c r="F123" s="60" t="str">
        <f>IF(Table2[[#This Row],[Counter Number]]="","","On Highway")</f>
        <v/>
      </c>
      <c r="G123" s="60" t="str">
        <f>IF(Table2[[#This Row],[Counter Number]]="","",I123)</f>
        <v/>
      </c>
      <c r="H123" s="60" t="str">
        <f>IF(Table2[[#This Row],[Counter Number]]="","","Georgia")</f>
        <v/>
      </c>
      <c r="I123" s="60" t="str">
        <f>IF(Table2[[#This Row],[Counter Number]]="","",Application!$D$16)</f>
        <v/>
      </c>
      <c r="J123" s="60" t="str">
        <f>IF(Table2[[#This Row],[Counter Number]]="","",Application!$D$21)</f>
        <v/>
      </c>
      <c r="K123" s="60" t="str">
        <f>IF(Table2[[#This Row],[Counter Number]]="","",Application!$J$21)</f>
        <v/>
      </c>
      <c r="L123" s="60" t="str">
        <f>IF(Table2[[#This Row],[Counter Number]]="","","School Bus")</f>
        <v/>
      </c>
      <c r="M123" s="60" t="str">
        <f>IF(Table2[[#This Row],[Counter Number]]="","","School Bus")</f>
        <v/>
      </c>
      <c r="N123" s="60" t="str">
        <f>IF(Table2[[#This Row],[Counter Number]]="","",1)</f>
        <v/>
      </c>
      <c r="O123" s="60" t="str">
        <f>IF(Table2[[#This Row],[Counter Number]]="","",Table1[[#This Row],[Vehicle Identification Number(s):]])</f>
        <v/>
      </c>
      <c r="P123" s="60" t="str">
        <f>IF(Table2[[#This Row],[Counter Number]]="","",Table1[[#This Row],[Old Bus Manufacturer:]])</f>
        <v/>
      </c>
      <c r="Q123" s="60" t="str">
        <f>IF(Table2[[#This Row],[Counter Number]]="","",Table1[[#This Row],[Vehicle Model:]])</f>
        <v/>
      </c>
      <c r="R123" s="165" t="str">
        <f>IF(Table2[[#This Row],[Counter Number]]="","",Table1[[#This Row],[Vehicle Model Year:]])</f>
        <v/>
      </c>
      <c r="S123" s="60" t="str">
        <f>IF(Table2[[#This Row],[Counter Number]]="","",Table1[[#This Row],[Engine Serial Number(s):]])</f>
        <v/>
      </c>
      <c r="T123" s="60" t="str">
        <f>IF(Table2[[#This Row],[Counter Number]]="","",Table1[[#This Row],[Engine Make:]])</f>
        <v/>
      </c>
      <c r="U123" s="60" t="str">
        <f>IF(Table2[[#This Row],[Counter Number]]="","",Table1[[#This Row],[Engine Model:]])</f>
        <v/>
      </c>
      <c r="V123" s="165" t="str">
        <f>IF(Table2[[#This Row],[Counter Number]]="","",Table1[[#This Row],[Engine Model Year:]])</f>
        <v/>
      </c>
      <c r="W123" s="60" t="str">
        <f>IF(Table2[[#This Row],[Counter Number]]="","","NA")</f>
        <v/>
      </c>
      <c r="X123" s="165" t="str">
        <f>IF(Table2[[#This Row],[Counter Number]]="","",Table1[[#This Row],[Engine Horsepower (HP):]])</f>
        <v/>
      </c>
      <c r="Y123" s="165" t="str">
        <f>IF(Table2[[#This Row],[Counter Number]]="","",Table1[[#This Row],[Engine Cylinder Displacement (L):]]&amp;" L")</f>
        <v/>
      </c>
      <c r="Z123" s="165" t="str">
        <f>IF(Table2[[#This Row],[Counter Number]]="","",Table1[[#This Row],[Engine Number of Cylinders:]])</f>
        <v/>
      </c>
      <c r="AA123" s="166" t="str">
        <f>IF(Table2[[#This Row],[Counter Number]]="","",Table1[[#This Row],[Engine Family Name:]])</f>
        <v/>
      </c>
      <c r="AB123" s="60" t="str">
        <f>IF(Table2[[#This Row],[Counter Number]]="","","ULSD")</f>
        <v/>
      </c>
      <c r="AC123" s="167" t="str">
        <f>IF(Table2[[#This Row],[Counter Number]]="","",Table2[[#This Row],[Annual Miles Traveled:]]/Table1[[#This Row],[Old Fuel (mpg)]])</f>
        <v/>
      </c>
      <c r="AD123" s="60" t="str">
        <f>IF(Table2[[#This Row],[Counter Number]]="","","NA")</f>
        <v/>
      </c>
      <c r="AE123" s="168" t="str">
        <f>IF(Table2[[#This Row],[Counter Number]]="","",Table1[[#This Row],[Annual Miles Traveled]])</f>
        <v/>
      </c>
      <c r="AF123" s="169" t="str">
        <f>IF(Table2[[#This Row],[Counter Number]]="","",Table1[[#This Row],[Annual Idling Hours:]])</f>
        <v/>
      </c>
      <c r="AG123" s="60" t="str">
        <f>IF(Table2[[#This Row],[Counter Number]]="","","NA")</f>
        <v/>
      </c>
      <c r="AH123" s="165" t="str">
        <f>IF(Table2[[#This Row],[Counter Number]]="","",IF(Application!$J$25="Set Policy",Table1[[#This Row],[Remaining Life (years)         Set Policy]],Table1[[#This Row],[Remaining Life (years)               Case-by-Case]]))</f>
        <v/>
      </c>
      <c r="AI123" s="165" t="str">
        <f>IF(Table2[[#This Row],[Counter Number]]="","",IF(Application!$J$25="Case-by-Case","NA",Table2[[#This Row],[Fiscal Year of EPA Funds Used:]]+Table2[[#This Row],[Remaining Life:]]))</f>
        <v/>
      </c>
      <c r="AJ123" s="165"/>
      <c r="AK123" s="170" t="str">
        <f>IF(Table2[[#This Row],[Counter Number]]="","",Application!$D$14+1)</f>
        <v/>
      </c>
      <c r="AL123" s="60" t="str">
        <f>IF(Table2[[#This Row],[Counter Number]]="","","Vehicle Replacement")</f>
        <v/>
      </c>
      <c r="AM12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3" s="171" t="str">
        <f>IF(Table2[[#This Row],[Counter Number]]="","",Table1[[#This Row],[Cost of New Bus:]])</f>
        <v/>
      </c>
      <c r="AO123" s="60" t="str">
        <f>IF(Table2[[#This Row],[Counter Number]]="","","NA")</f>
        <v/>
      </c>
      <c r="AP123" s="165" t="str">
        <f>IF(Table2[[#This Row],[Counter Number]]="","",Table1[[#This Row],[New Engine Model Year:]])</f>
        <v/>
      </c>
      <c r="AQ123" s="60" t="str">
        <f>IF(Table2[[#This Row],[Counter Number]]="","","NA")</f>
        <v/>
      </c>
      <c r="AR123" s="165" t="str">
        <f>IF(Table2[[#This Row],[Counter Number]]="","",Table1[[#This Row],[New Engine Horsepower (HP):]])</f>
        <v/>
      </c>
      <c r="AS123" s="60" t="str">
        <f>IF(Table2[[#This Row],[Counter Number]]="","","NA")</f>
        <v/>
      </c>
      <c r="AT123" s="165" t="str">
        <f>IF(Table2[[#This Row],[Counter Number]]="","",Table1[[#This Row],[New Engine Cylinder Displacement (L):]]&amp;" L")</f>
        <v/>
      </c>
      <c r="AU123" s="114" t="str">
        <f>IF(Table2[[#This Row],[Counter Number]]="","",Table1[[#This Row],[New Engine Number of Cylinders:]])</f>
        <v/>
      </c>
      <c r="AV123" s="60" t="str">
        <f>IF(Table2[[#This Row],[Counter Number]]="","",Table1[[#This Row],[New Engine Family Name:]])</f>
        <v/>
      </c>
      <c r="AW12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3" s="60" t="str">
        <f>IF(Table2[[#This Row],[Counter Number]]="","","NA")</f>
        <v/>
      </c>
      <c r="AY123" s="172" t="str">
        <f>IF(Table2[[#This Row],[Counter Number]]="","",IF(Table2[[#This Row],[New Engine Fuel Type:]]="ULSD",Table1[[#This Row],[Annual Miles Traveled]]/Table1[[#This Row],[New Fuel (mpg) if Diesel]],""))</f>
        <v/>
      </c>
      <c r="AZ123" s="60"/>
      <c r="BA123" s="173" t="str">
        <f>IF(Table2[[#This Row],[Counter Number]]="","",Table2[[#This Row],[Annual Miles Traveled:]]*VLOOKUP(Table2[[#This Row],[Engine Model Year:]],EFTable[],3,FALSE))</f>
        <v/>
      </c>
      <c r="BB123" s="173" t="str">
        <f>IF(Table2[[#This Row],[Counter Number]]="","",Table2[[#This Row],[Annual Miles Traveled:]]*IF(Table2[[#This Row],[New Engine Fuel Type:]]="ULSD",VLOOKUP(Table2[[#This Row],[New Engine Model Year:]],EFTable[],3,FALSE),VLOOKUP(Table2[[#This Row],[New Engine Fuel Type:]],EFTable[],3,FALSE)))</f>
        <v/>
      </c>
      <c r="BC123" s="187" t="str">
        <f>IF(Table2[[#This Row],[Counter Number]]="","",Table2[[#This Row],[Old Bus NOx Emissions (tons/yr)]]-Table2[[#This Row],[New Bus NOx Emissions (tons/yr)]])</f>
        <v/>
      </c>
      <c r="BD123" s="188" t="str">
        <f>IF(Table2[[#This Row],[Counter Number]]="","",Table2[[#This Row],[Reduction Bus NOx Emissions (tons/yr)]]/Table2[[#This Row],[Old Bus NOx Emissions (tons/yr)]])</f>
        <v/>
      </c>
      <c r="BE123" s="175" t="str">
        <f>IF(Table2[[#This Row],[Counter Number]]="","",Table2[[#This Row],[Reduction Bus NOx Emissions (tons/yr)]]*Table2[[#This Row],[Remaining Life:]])</f>
        <v/>
      </c>
      <c r="BF123" s="189" t="str">
        <f>IF(Table2[[#This Row],[Counter Number]]="","",IF(Table2[[#This Row],[Lifetime NOx Reduction (tons)]]=0,"NA",Table2[[#This Row],[Upgrade Cost Per Unit]]/Table2[[#This Row],[Lifetime NOx Reduction (tons)]]))</f>
        <v/>
      </c>
      <c r="BG123" s="190" t="str">
        <f>IF(Table2[[#This Row],[Counter Number]]="","",Table2[[#This Row],[Annual Miles Traveled:]]*VLOOKUP(Table2[[#This Row],[Engine Model Year:]],EF!$A$2:$G$27,4,FALSE))</f>
        <v/>
      </c>
      <c r="BH123" s="173" t="str">
        <f>IF(Table2[[#This Row],[Counter Number]]="","",Table2[[#This Row],[Annual Miles Traveled:]]*IF(Table2[[#This Row],[New Engine Fuel Type:]]="ULSD",VLOOKUP(Table2[[#This Row],[New Engine Model Year:]],EFTable[],4,FALSE),VLOOKUP(Table2[[#This Row],[New Engine Fuel Type:]],EFTable[],4,FALSE)))</f>
        <v/>
      </c>
      <c r="BI123" s="191" t="str">
        <f>IF(Table2[[#This Row],[Counter Number]]="","",Table2[[#This Row],[Old Bus PM2.5 Emissions (tons/yr)]]-Table2[[#This Row],[New Bus PM2.5 Emissions (tons/yr)]])</f>
        <v/>
      </c>
      <c r="BJ123" s="192" t="str">
        <f>IF(Table2[[#This Row],[Counter Number]]="","",Table2[[#This Row],[Reduction Bus PM2.5 Emissions (tons/yr)]]/Table2[[#This Row],[Old Bus PM2.5 Emissions (tons/yr)]])</f>
        <v/>
      </c>
      <c r="BK123" s="193" t="str">
        <f>IF(Table2[[#This Row],[Counter Number]]="","",Table2[[#This Row],[Reduction Bus PM2.5 Emissions (tons/yr)]]*Table2[[#This Row],[Remaining Life:]])</f>
        <v/>
      </c>
      <c r="BL123" s="194" t="str">
        <f>IF(Table2[[#This Row],[Counter Number]]="","",IF(Table2[[#This Row],[Lifetime PM2.5 Reduction (tons)]]=0,"NA",Table2[[#This Row],[Upgrade Cost Per Unit]]/Table2[[#This Row],[Lifetime PM2.5 Reduction (tons)]]))</f>
        <v/>
      </c>
      <c r="BM123" s="179" t="str">
        <f>IF(Table2[[#This Row],[Counter Number]]="","",Table2[[#This Row],[Annual Miles Traveled:]]*VLOOKUP(Table2[[#This Row],[Engine Model Year:]],EF!$A$2:$G$40,5,FALSE))</f>
        <v/>
      </c>
      <c r="BN123" s="173" t="str">
        <f>IF(Table2[[#This Row],[Counter Number]]="","",Table2[[#This Row],[Annual Miles Traveled:]]*IF(Table2[[#This Row],[New Engine Fuel Type:]]="ULSD",VLOOKUP(Table2[[#This Row],[New Engine Model Year:]],EFTable[],5,FALSE),VLOOKUP(Table2[[#This Row],[New Engine Fuel Type:]],EFTable[],5,FALSE)))</f>
        <v/>
      </c>
      <c r="BO123" s="190" t="str">
        <f>IF(Table2[[#This Row],[Counter Number]]="","",Table2[[#This Row],[Old Bus HC Emissions (tons/yr)]]-Table2[[#This Row],[New Bus HC Emissions (tons/yr)]])</f>
        <v/>
      </c>
      <c r="BP123" s="188" t="str">
        <f>IF(Table2[[#This Row],[Counter Number]]="","",Table2[[#This Row],[Reduction Bus HC Emissions (tons/yr)]]/Table2[[#This Row],[Old Bus HC Emissions (tons/yr)]])</f>
        <v/>
      </c>
      <c r="BQ123" s="193" t="str">
        <f>IF(Table2[[#This Row],[Counter Number]]="","",Table2[[#This Row],[Reduction Bus HC Emissions (tons/yr)]]*Table2[[#This Row],[Remaining Life:]])</f>
        <v/>
      </c>
      <c r="BR123" s="194" t="str">
        <f>IF(Table2[[#This Row],[Counter Number]]="","",IF(Table2[[#This Row],[Lifetime HC Reduction (tons)]]=0,"NA",Table2[[#This Row],[Upgrade Cost Per Unit]]/Table2[[#This Row],[Lifetime HC Reduction (tons)]]))</f>
        <v/>
      </c>
      <c r="BS123" s="191" t="str">
        <f>IF(Table2[[#This Row],[Counter Number]]="","",Table2[[#This Row],[Annual Miles Traveled:]]*VLOOKUP(Table2[[#This Row],[Engine Model Year:]],EF!$A$2:$G$27,6,FALSE))</f>
        <v/>
      </c>
      <c r="BT123" s="173" t="str">
        <f>IF(Table2[[#This Row],[Counter Number]]="","",Table2[[#This Row],[Annual Miles Traveled:]]*IF(Table2[[#This Row],[New Engine Fuel Type:]]="ULSD",VLOOKUP(Table2[[#This Row],[New Engine Model Year:]],EFTable[],6,FALSE),VLOOKUP(Table2[[#This Row],[New Engine Fuel Type:]],EFTable[],6,FALSE)))</f>
        <v/>
      </c>
      <c r="BU123" s="190" t="str">
        <f>IF(Table2[[#This Row],[Counter Number]]="","",Table2[[#This Row],[Old Bus CO Emissions (tons/yr)]]-Table2[[#This Row],[New Bus CO Emissions (tons/yr)]])</f>
        <v/>
      </c>
      <c r="BV123" s="188" t="str">
        <f>IF(Table2[[#This Row],[Counter Number]]="","",Table2[[#This Row],[Reduction Bus CO Emissions (tons/yr)]]/Table2[[#This Row],[Old Bus CO Emissions (tons/yr)]])</f>
        <v/>
      </c>
      <c r="BW123" s="193" t="str">
        <f>IF(Table2[[#This Row],[Counter Number]]="","",Table2[[#This Row],[Reduction Bus CO Emissions (tons/yr)]]*Table2[[#This Row],[Remaining Life:]])</f>
        <v/>
      </c>
      <c r="BX123" s="194" t="str">
        <f>IF(Table2[[#This Row],[Counter Number]]="","",IF(Table2[[#This Row],[Lifetime CO Reduction (tons)]]=0,"NA",Table2[[#This Row],[Upgrade Cost Per Unit]]/Table2[[#This Row],[Lifetime CO Reduction (tons)]]))</f>
        <v/>
      </c>
      <c r="BY123" s="180" t="str">
        <f>IF(Table2[[#This Row],[Counter Number]]="","",Table2[[#This Row],[Old ULSD Used (gal):]]*VLOOKUP(Table2[[#This Row],[Engine Model Year:]],EF!$A$2:$G$27,7,FALSE))</f>
        <v/>
      </c>
      <c r="BZ12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3" s="195" t="str">
        <f>IF(Table2[[#This Row],[Counter Number]]="","",Table2[[#This Row],[Old Bus CO2 Emissions (tons/yr)]]-Table2[[#This Row],[New Bus CO2 Emissions (tons/yr)]])</f>
        <v/>
      </c>
      <c r="CB123" s="188" t="str">
        <f>IF(Table2[[#This Row],[Counter Number]]="","",Table2[[#This Row],[Reduction Bus CO2 Emissions (tons/yr)]]/Table2[[#This Row],[Old Bus CO2 Emissions (tons/yr)]])</f>
        <v/>
      </c>
      <c r="CC123" s="195" t="str">
        <f>IF(Table2[[#This Row],[Counter Number]]="","",Table2[[#This Row],[Reduction Bus CO2 Emissions (tons/yr)]]*Table2[[#This Row],[Remaining Life:]])</f>
        <v/>
      </c>
      <c r="CD123" s="194" t="str">
        <f>IF(Table2[[#This Row],[Counter Number]]="","",IF(Table2[[#This Row],[Lifetime CO2 Reduction (tons)]]=0,"NA",Table2[[#This Row],[Upgrade Cost Per Unit]]/Table2[[#This Row],[Lifetime CO2 Reduction (tons)]]))</f>
        <v/>
      </c>
      <c r="CE123" s="182" t="str">
        <f>IF(Table2[[#This Row],[Counter Number]]="","",IF(Table2[[#This Row],[New ULSD Used (gal):]]="",Table2[[#This Row],[Old ULSD Used (gal):]],Table2[[#This Row],[Old ULSD Used (gal):]]-Table2[[#This Row],[New ULSD Used (gal):]]))</f>
        <v/>
      </c>
      <c r="CF123" s="196" t="str">
        <f>IF(Table2[[#This Row],[Counter Number]]="","",Table2[[#This Row],[Diesel Fuel Reduction (gal/yr)]]/Table2[[#This Row],[Old ULSD Used (gal):]])</f>
        <v/>
      </c>
      <c r="CG123" s="197" t="str">
        <f>IF(Table2[[#This Row],[Counter Number]]="","",Table2[[#This Row],[Diesel Fuel Reduction (gal/yr)]]*Table2[[#This Row],[Remaining Life:]])</f>
        <v/>
      </c>
    </row>
    <row r="124" spans="1:85">
      <c r="A124" s="184" t="str">
        <f>IF(A123&lt;Application!$D$24,A123+1,"")</f>
        <v/>
      </c>
      <c r="B124" s="60" t="str">
        <f>IF(Table2[[#This Row],[Counter Number]]="","",Application!$D$16)</f>
        <v/>
      </c>
      <c r="C124" s="60" t="str">
        <f>IF(Table2[[#This Row],[Counter Number]]="","",Application!$D$14)</f>
        <v/>
      </c>
      <c r="D124" s="60" t="str">
        <f>IF(Table2[[#This Row],[Counter Number]]="","",Table1[[#This Row],[Old Bus Number]])</f>
        <v/>
      </c>
      <c r="E124" s="60" t="str">
        <f>IF(Table2[[#This Row],[Counter Number]]="","",Application!$D$15)</f>
        <v/>
      </c>
      <c r="F124" s="60" t="str">
        <f>IF(Table2[[#This Row],[Counter Number]]="","","On Highway")</f>
        <v/>
      </c>
      <c r="G124" s="60" t="str">
        <f>IF(Table2[[#This Row],[Counter Number]]="","",I124)</f>
        <v/>
      </c>
      <c r="H124" s="60" t="str">
        <f>IF(Table2[[#This Row],[Counter Number]]="","","Georgia")</f>
        <v/>
      </c>
      <c r="I124" s="60" t="str">
        <f>IF(Table2[[#This Row],[Counter Number]]="","",Application!$D$16)</f>
        <v/>
      </c>
      <c r="J124" s="60" t="str">
        <f>IF(Table2[[#This Row],[Counter Number]]="","",Application!$D$21)</f>
        <v/>
      </c>
      <c r="K124" s="60" t="str">
        <f>IF(Table2[[#This Row],[Counter Number]]="","",Application!$J$21)</f>
        <v/>
      </c>
      <c r="L124" s="60" t="str">
        <f>IF(Table2[[#This Row],[Counter Number]]="","","School Bus")</f>
        <v/>
      </c>
      <c r="M124" s="60" t="str">
        <f>IF(Table2[[#This Row],[Counter Number]]="","","School Bus")</f>
        <v/>
      </c>
      <c r="N124" s="60" t="str">
        <f>IF(Table2[[#This Row],[Counter Number]]="","",1)</f>
        <v/>
      </c>
      <c r="O124" s="60" t="str">
        <f>IF(Table2[[#This Row],[Counter Number]]="","",Table1[[#This Row],[Vehicle Identification Number(s):]])</f>
        <v/>
      </c>
      <c r="P124" s="60" t="str">
        <f>IF(Table2[[#This Row],[Counter Number]]="","",Table1[[#This Row],[Old Bus Manufacturer:]])</f>
        <v/>
      </c>
      <c r="Q124" s="60" t="str">
        <f>IF(Table2[[#This Row],[Counter Number]]="","",Table1[[#This Row],[Vehicle Model:]])</f>
        <v/>
      </c>
      <c r="R124" s="165" t="str">
        <f>IF(Table2[[#This Row],[Counter Number]]="","",Table1[[#This Row],[Vehicle Model Year:]])</f>
        <v/>
      </c>
      <c r="S124" s="60" t="str">
        <f>IF(Table2[[#This Row],[Counter Number]]="","",Table1[[#This Row],[Engine Serial Number(s):]])</f>
        <v/>
      </c>
      <c r="T124" s="60" t="str">
        <f>IF(Table2[[#This Row],[Counter Number]]="","",Table1[[#This Row],[Engine Make:]])</f>
        <v/>
      </c>
      <c r="U124" s="60" t="str">
        <f>IF(Table2[[#This Row],[Counter Number]]="","",Table1[[#This Row],[Engine Model:]])</f>
        <v/>
      </c>
      <c r="V124" s="165" t="str">
        <f>IF(Table2[[#This Row],[Counter Number]]="","",Table1[[#This Row],[Engine Model Year:]])</f>
        <v/>
      </c>
      <c r="W124" s="60" t="str">
        <f>IF(Table2[[#This Row],[Counter Number]]="","","NA")</f>
        <v/>
      </c>
      <c r="X124" s="165" t="str">
        <f>IF(Table2[[#This Row],[Counter Number]]="","",Table1[[#This Row],[Engine Horsepower (HP):]])</f>
        <v/>
      </c>
      <c r="Y124" s="165" t="str">
        <f>IF(Table2[[#This Row],[Counter Number]]="","",Table1[[#This Row],[Engine Cylinder Displacement (L):]]&amp;" L")</f>
        <v/>
      </c>
      <c r="Z124" s="165" t="str">
        <f>IF(Table2[[#This Row],[Counter Number]]="","",Table1[[#This Row],[Engine Number of Cylinders:]])</f>
        <v/>
      </c>
      <c r="AA124" s="166" t="str">
        <f>IF(Table2[[#This Row],[Counter Number]]="","",Table1[[#This Row],[Engine Family Name:]])</f>
        <v/>
      </c>
      <c r="AB124" s="60" t="str">
        <f>IF(Table2[[#This Row],[Counter Number]]="","","ULSD")</f>
        <v/>
      </c>
      <c r="AC124" s="167" t="str">
        <f>IF(Table2[[#This Row],[Counter Number]]="","",Table2[[#This Row],[Annual Miles Traveled:]]/Table1[[#This Row],[Old Fuel (mpg)]])</f>
        <v/>
      </c>
      <c r="AD124" s="60" t="str">
        <f>IF(Table2[[#This Row],[Counter Number]]="","","NA")</f>
        <v/>
      </c>
      <c r="AE124" s="168" t="str">
        <f>IF(Table2[[#This Row],[Counter Number]]="","",Table1[[#This Row],[Annual Miles Traveled]])</f>
        <v/>
      </c>
      <c r="AF124" s="169" t="str">
        <f>IF(Table2[[#This Row],[Counter Number]]="","",Table1[[#This Row],[Annual Idling Hours:]])</f>
        <v/>
      </c>
      <c r="AG124" s="60" t="str">
        <f>IF(Table2[[#This Row],[Counter Number]]="","","NA")</f>
        <v/>
      </c>
      <c r="AH124" s="165" t="str">
        <f>IF(Table2[[#This Row],[Counter Number]]="","",IF(Application!$J$25="Set Policy",Table1[[#This Row],[Remaining Life (years)         Set Policy]],Table1[[#This Row],[Remaining Life (years)               Case-by-Case]]))</f>
        <v/>
      </c>
      <c r="AI124" s="165" t="str">
        <f>IF(Table2[[#This Row],[Counter Number]]="","",IF(Application!$J$25="Case-by-Case","NA",Table2[[#This Row],[Fiscal Year of EPA Funds Used:]]+Table2[[#This Row],[Remaining Life:]]))</f>
        <v/>
      </c>
      <c r="AJ124" s="165"/>
      <c r="AK124" s="170" t="str">
        <f>IF(Table2[[#This Row],[Counter Number]]="","",Application!$D$14+1)</f>
        <v/>
      </c>
      <c r="AL124" s="60" t="str">
        <f>IF(Table2[[#This Row],[Counter Number]]="","","Vehicle Replacement")</f>
        <v/>
      </c>
      <c r="AM12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4" s="171" t="str">
        <f>IF(Table2[[#This Row],[Counter Number]]="","",Table1[[#This Row],[Cost of New Bus:]])</f>
        <v/>
      </c>
      <c r="AO124" s="60" t="str">
        <f>IF(Table2[[#This Row],[Counter Number]]="","","NA")</f>
        <v/>
      </c>
      <c r="AP124" s="165" t="str">
        <f>IF(Table2[[#This Row],[Counter Number]]="","",Table1[[#This Row],[New Engine Model Year:]])</f>
        <v/>
      </c>
      <c r="AQ124" s="60" t="str">
        <f>IF(Table2[[#This Row],[Counter Number]]="","","NA")</f>
        <v/>
      </c>
      <c r="AR124" s="165" t="str">
        <f>IF(Table2[[#This Row],[Counter Number]]="","",Table1[[#This Row],[New Engine Horsepower (HP):]])</f>
        <v/>
      </c>
      <c r="AS124" s="60" t="str">
        <f>IF(Table2[[#This Row],[Counter Number]]="","","NA")</f>
        <v/>
      </c>
      <c r="AT124" s="165" t="str">
        <f>IF(Table2[[#This Row],[Counter Number]]="","",Table1[[#This Row],[New Engine Cylinder Displacement (L):]]&amp;" L")</f>
        <v/>
      </c>
      <c r="AU124" s="114" t="str">
        <f>IF(Table2[[#This Row],[Counter Number]]="","",Table1[[#This Row],[New Engine Number of Cylinders:]])</f>
        <v/>
      </c>
      <c r="AV124" s="60" t="str">
        <f>IF(Table2[[#This Row],[Counter Number]]="","",Table1[[#This Row],[New Engine Family Name:]])</f>
        <v/>
      </c>
      <c r="AW12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4" s="60" t="str">
        <f>IF(Table2[[#This Row],[Counter Number]]="","","NA")</f>
        <v/>
      </c>
      <c r="AY124" s="172" t="str">
        <f>IF(Table2[[#This Row],[Counter Number]]="","",IF(Table2[[#This Row],[New Engine Fuel Type:]]="ULSD",Table1[[#This Row],[Annual Miles Traveled]]/Table1[[#This Row],[New Fuel (mpg) if Diesel]],""))</f>
        <v/>
      </c>
      <c r="AZ124" s="60"/>
      <c r="BA124" s="173" t="str">
        <f>IF(Table2[[#This Row],[Counter Number]]="","",Table2[[#This Row],[Annual Miles Traveled:]]*VLOOKUP(Table2[[#This Row],[Engine Model Year:]],EFTable[],3,FALSE))</f>
        <v/>
      </c>
      <c r="BB124" s="173" t="str">
        <f>IF(Table2[[#This Row],[Counter Number]]="","",Table2[[#This Row],[Annual Miles Traveled:]]*IF(Table2[[#This Row],[New Engine Fuel Type:]]="ULSD",VLOOKUP(Table2[[#This Row],[New Engine Model Year:]],EFTable[],3,FALSE),VLOOKUP(Table2[[#This Row],[New Engine Fuel Type:]],EFTable[],3,FALSE)))</f>
        <v/>
      </c>
      <c r="BC124" s="187" t="str">
        <f>IF(Table2[[#This Row],[Counter Number]]="","",Table2[[#This Row],[Old Bus NOx Emissions (tons/yr)]]-Table2[[#This Row],[New Bus NOx Emissions (tons/yr)]])</f>
        <v/>
      </c>
      <c r="BD124" s="188" t="str">
        <f>IF(Table2[[#This Row],[Counter Number]]="","",Table2[[#This Row],[Reduction Bus NOx Emissions (tons/yr)]]/Table2[[#This Row],[Old Bus NOx Emissions (tons/yr)]])</f>
        <v/>
      </c>
      <c r="BE124" s="175" t="str">
        <f>IF(Table2[[#This Row],[Counter Number]]="","",Table2[[#This Row],[Reduction Bus NOx Emissions (tons/yr)]]*Table2[[#This Row],[Remaining Life:]])</f>
        <v/>
      </c>
      <c r="BF124" s="189" t="str">
        <f>IF(Table2[[#This Row],[Counter Number]]="","",IF(Table2[[#This Row],[Lifetime NOx Reduction (tons)]]=0,"NA",Table2[[#This Row],[Upgrade Cost Per Unit]]/Table2[[#This Row],[Lifetime NOx Reduction (tons)]]))</f>
        <v/>
      </c>
      <c r="BG124" s="190" t="str">
        <f>IF(Table2[[#This Row],[Counter Number]]="","",Table2[[#This Row],[Annual Miles Traveled:]]*VLOOKUP(Table2[[#This Row],[Engine Model Year:]],EF!$A$2:$G$27,4,FALSE))</f>
        <v/>
      </c>
      <c r="BH124" s="173" t="str">
        <f>IF(Table2[[#This Row],[Counter Number]]="","",Table2[[#This Row],[Annual Miles Traveled:]]*IF(Table2[[#This Row],[New Engine Fuel Type:]]="ULSD",VLOOKUP(Table2[[#This Row],[New Engine Model Year:]],EFTable[],4,FALSE),VLOOKUP(Table2[[#This Row],[New Engine Fuel Type:]],EFTable[],4,FALSE)))</f>
        <v/>
      </c>
      <c r="BI124" s="191" t="str">
        <f>IF(Table2[[#This Row],[Counter Number]]="","",Table2[[#This Row],[Old Bus PM2.5 Emissions (tons/yr)]]-Table2[[#This Row],[New Bus PM2.5 Emissions (tons/yr)]])</f>
        <v/>
      </c>
      <c r="BJ124" s="192" t="str">
        <f>IF(Table2[[#This Row],[Counter Number]]="","",Table2[[#This Row],[Reduction Bus PM2.5 Emissions (tons/yr)]]/Table2[[#This Row],[Old Bus PM2.5 Emissions (tons/yr)]])</f>
        <v/>
      </c>
      <c r="BK124" s="193" t="str">
        <f>IF(Table2[[#This Row],[Counter Number]]="","",Table2[[#This Row],[Reduction Bus PM2.5 Emissions (tons/yr)]]*Table2[[#This Row],[Remaining Life:]])</f>
        <v/>
      </c>
      <c r="BL124" s="194" t="str">
        <f>IF(Table2[[#This Row],[Counter Number]]="","",IF(Table2[[#This Row],[Lifetime PM2.5 Reduction (tons)]]=0,"NA",Table2[[#This Row],[Upgrade Cost Per Unit]]/Table2[[#This Row],[Lifetime PM2.5 Reduction (tons)]]))</f>
        <v/>
      </c>
      <c r="BM124" s="179" t="str">
        <f>IF(Table2[[#This Row],[Counter Number]]="","",Table2[[#This Row],[Annual Miles Traveled:]]*VLOOKUP(Table2[[#This Row],[Engine Model Year:]],EF!$A$2:$G$40,5,FALSE))</f>
        <v/>
      </c>
      <c r="BN124" s="173" t="str">
        <f>IF(Table2[[#This Row],[Counter Number]]="","",Table2[[#This Row],[Annual Miles Traveled:]]*IF(Table2[[#This Row],[New Engine Fuel Type:]]="ULSD",VLOOKUP(Table2[[#This Row],[New Engine Model Year:]],EFTable[],5,FALSE),VLOOKUP(Table2[[#This Row],[New Engine Fuel Type:]],EFTable[],5,FALSE)))</f>
        <v/>
      </c>
      <c r="BO124" s="190" t="str">
        <f>IF(Table2[[#This Row],[Counter Number]]="","",Table2[[#This Row],[Old Bus HC Emissions (tons/yr)]]-Table2[[#This Row],[New Bus HC Emissions (tons/yr)]])</f>
        <v/>
      </c>
      <c r="BP124" s="188" t="str">
        <f>IF(Table2[[#This Row],[Counter Number]]="","",Table2[[#This Row],[Reduction Bus HC Emissions (tons/yr)]]/Table2[[#This Row],[Old Bus HC Emissions (tons/yr)]])</f>
        <v/>
      </c>
      <c r="BQ124" s="193" t="str">
        <f>IF(Table2[[#This Row],[Counter Number]]="","",Table2[[#This Row],[Reduction Bus HC Emissions (tons/yr)]]*Table2[[#This Row],[Remaining Life:]])</f>
        <v/>
      </c>
      <c r="BR124" s="194" t="str">
        <f>IF(Table2[[#This Row],[Counter Number]]="","",IF(Table2[[#This Row],[Lifetime HC Reduction (tons)]]=0,"NA",Table2[[#This Row],[Upgrade Cost Per Unit]]/Table2[[#This Row],[Lifetime HC Reduction (tons)]]))</f>
        <v/>
      </c>
      <c r="BS124" s="191" t="str">
        <f>IF(Table2[[#This Row],[Counter Number]]="","",Table2[[#This Row],[Annual Miles Traveled:]]*VLOOKUP(Table2[[#This Row],[Engine Model Year:]],EF!$A$2:$G$27,6,FALSE))</f>
        <v/>
      </c>
      <c r="BT124" s="173" t="str">
        <f>IF(Table2[[#This Row],[Counter Number]]="","",Table2[[#This Row],[Annual Miles Traveled:]]*IF(Table2[[#This Row],[New Engine Fuel Type:]]="ULSD",VLOOKUP(Table2[[#This Row],[New Engine Model Year:]],EFTable[],6,FALSE),VLOOKUP(Table2[[#This Row],[New Engine Fuel Type:]],EFTable[],6,FALSE)))</f>
        <v/>
      </c>
      <c r="BU124" s="190" t="str">
        <f>IF(Table2[[#This Row],[Counter Number]]="","",Table2[[#This Row],[Old Bus CO Emissions (tons/yr)]]-Table2[[#This Row],[New Bus CO Emissions (tons/yr)]])</f>
        <v/>
      </c>
      <c r="BV124" s="188" t="str">
        <f>IF(Table2[[#This Row],[Counter Number]]="","",Table2[[#This Row],[Reduction Bus CO Emissions (tons/yr)]]/Table2[[#This Row],[Old Bus CO Emissions (tons/yr)]])</f>
        <v/>
      </c>
      <c r="BW124" s="193" t="str">
        <f>IF(Table2[[#This Row],[Counter Number]]="","",Table2[[#This Row],[Reduction Bus CO Emissions (tons/yr)]]*Table2[[#This Row],[Remaining Life:]])</f>
        <v/>
      </c>
      <c r="BX124" s="194" t="str">
        <f>IF(Table2[[#This Row],[Counter Number]]="","",IF(Table2[[#This Row],[Lifetime CO Reduction (tons)]]=0,"NA",Table2[[#This Row],[Upgrade Cost Per Unit]]/Table2[[#This Row],[Lifetime CO Reduction (tons)]]))</f>
        <v/>
      </c>
      <c r="BY124" s="180" t="str">
        <f>IF(Table2[[#This Row],[Counter Number]]="","",Table2[[#This Row],[Old ULSD Used (gal):]]*VLOOKUP(Table2[[#This Row],[Engine Model Year:]],EF!$A$2:$G$27,7,FALSE))</f>
        <v/>
      </c>
      <c r="BZ12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4" s="195" t="str">
        <f>IF(Table2[[#This Row],[Counter Number]]="","",Table2[[#This Row],[Old Bus CO2 Emissions (tons/yr)]]-Table2[[#This Row],[New Bus CO2 Emissions (tons/yr)]])</f>
        <v/>
      </c>
      <c r="CB124" s="188" t="str">
        <f>IF(Table2[[#This Row],[Counter Number]]="","",Table2[[#This Row],[Reduction Bus CO2 Emissions (tons/yr)]]/Table2[[#This Row],[Old Bus CO2 Emissions (tons/yr)]])</f>
        <v/>
      </c>
      <c r="CC124" s="195" t="str">
        <f>IF(Table2[[#This Row],[Counter Number]]="","",Table2[[#This Row],[Reduction Bus CO2 Emissions (tons/yr)]]*Table2[[#This Row],[Remaining Life:]])</f>
        <v/>
      </c>
      <c r="CD124" s="194" t="str">
        <f>IF(Table2[[#This Row],[Counter Number]]="","",IF(Table2[[#This Row],[Lifetime CO2 Reduction (tons)]]=0,"NA",Table2[[#This Row],[Upgrade Cost Per Unit]]/Table2[[#This Row],[Lifetime CO2 Reduction (tons)]]))</f>
        <v/>
      </c>
      <c r="CE124" s="182" t="str">
        <f>IF(Table2[[#This Row],[Counter Number]]="","",IF(Table2[[#This Row],[New ULSD Used (gal):]]="",Table2[[#This Row],[Old ULSD Used (gal):]],Table2[[#This Row],[Old ULSD Used (gal):]]-Table2[[#This Row],[New ULSD Used (gal):]]))</f>
        <v/>
      </c>
      <c r="CF124" s="196" t="str">
        <f>IF(Table2[[#This Row],[Counter Number]]="","",Table2[[#This Row],[Diesel Fuel Reduction (gal/yr)]]/Table2[[#This Row],[Old ULSD Used (gal):]])</f>
        <v/>
      </c>
      <c r="CG124" s="197" t="str">
        <f>IF(Table2[[#This Row],[Counter Number]]="","",Table2[[#This Row],[Diesel Fuel Reduction (gal/yr)]]*Table2[[#This Row],[Remaining Life:]])</f>
        <v/>
      </c>
    </row>
    <row r="125" spans="1:85">
      <c r="A125" s="184" t="str">
        <f>IF(A124&lt;Application!$D$24,A124+1,"")</f>
        <v/>
      </c>
      <c r="B125" s="60" t="str">
        <f>IF(Table2[[#This Row],[Counter Number]]="","",Application!$D$16)</f>
        <v/>
      </c>
      <c r="C125" s="60" t="str">
        <f>IF(Table2[[#This Row],[Counter Number]]="","",Application!$D$14)</f>
        <v/>
      </c>
      <c r="D125" s="60" t="str">
        <f>IF(Table2[[#This Row],[Counter Number]]="","",Table1[[#This Row],[Old Bus Number]])</f>
        <v/>
      </c>
      <c r="E125" s="60" t="str">
        <f>IF(Table2[[#This Row],[Counter Number]]="","",Application!$D$15)</f>
        <v/>
      </c>
      <c r="F125" s="60" t="str">
        <f>IF(Table2[[#This Row],[Counter Number]]="","","On Highway")</f>
        <v/>
      </c>
      <c r="G125" s="60" t="str">
        <f>IF(Table2[[#This Row],[Counter Number]]="","",I125)</f>
        <v/>
      </c>
      <c r="H125" s="60" t="str">
        <f>IF(Table2[[#This Row],[Counter Number]]="","","Georgia")</f>
        <v/>
      </c>
      <c r="I125" s="60" t="str">
        <f>IF(Table2[[#This Row],[Counter Number]]="","",Application!$D$16)</f>
        <v/>
      </c>
      <c r="J125" s="60" t="str">
        <f>IF(Table2[[#This Row],[Counter Number]]="","",Application!$D$21)</f>
        <v/>
      </c>
      <c r="K125" s="60" t="str">
        <f>IF(Table2[[#This Row],[Counter Number]]="","",Application!$J$21)</f>
        <v/>
      </c>
      <c r="L125" s="60" t="str">
        <f>IF(Table2[[#This Row],[Counter Number]]="","","School Bus")</f>
        <v/>
      </c>
      <c r="M125" s="60" t="str">
        <f>IF(Table2[[#This Row],[Counter Number]]="","","School Bus")</f>
        <v/>
      </c>
      <c r="N125" s="60" t="str">
        <f>IF(Table2[[#This Row],[Counter Number]]="","",1)</f>
        <v/>
      </c>
      <c r="O125" s="60" t="str">
        <f>IF(Table2[[#This Row],[Counter Number]]="","",Table1[[#This Row],[Vehicle Identification Number(s):]])</f>
        <v/>
      </c>
      <c r="P125" s="60" t="str">
        <f>IF(Table2[[#This Row],[Counter Number]]="","",Table1[[#This Row],[Old Bus Manufacturer:]])</f>
        <v/>
      </c>
      <c r="Q125" s="60" t="str">
        <f>IF(Table2[[#This Row],[Counter Number]]="","",Table1[[#This Row],[Vehicle Model:]])</f>
        <v/>
      </c>
      <c r="R125" s="165" t="str">
        <f>IF(Table2[[#This Row],[Counter Number]]="","",Table1[[#This Row],[Vehicle Model Year:]])</f>
        <v/>
      </c>
      <c r="S125" s="60" t="str">
        <f>IF(Table2[[#This Row],[Counter Number]]="","",Table1[[#This Row],[Engine Serial Number(s):]])</f>
        <v/>
      </c>
      <c r="T125" s="60" t="str">
        <f>IF(Table2[[#This Row],[Counter Number]]="","",Table1[[#This Row],[Engine Make:]])</f>
        <v/>
      </c>
      <c r="U125" s="60" t="str">
        <f>IF(Table2[[#This Row],[Counter Number]]="","",Table1[[#This Row],[Engine Model:]])</f>
        <v/>
      </c>
      <c r="V125" s="165" t="str">
        <f>IF(Table2[[#This Row],[Counter Number]]="","",Table1[[#This Row],[Engine Model Year:]])</f>
        <v/>
      </c>
      <c r="W125" s="60" t="str">
        <f>IF(Table2[[#This Row],[Counter Number]]="","","NA")</f>
        <v/>
      </c>
      <c r="X125" s="165" t="str">
        <f>IF(Table2[[#This Row],[Counter Number]]="","",Table1[[#This Row],[Engine Horsepower (HP):]])</f>
        <v/>
      </c>
      <c r="Y125" s="165" t="str">
        <f>IF(Table2[[#This Row],[Counter Number]]="","",Table1[[#This Row],[Engine Cylinder Displacement (L):]]&amp;" L")</f>
        <v/>
      </c>
      <c r="Z125" s="165" t="str">
        <f>IF(Table2[[#This Row],[Counter Number]]="","",Table1[[#This Row],[Engine Number of Cylinders:]])</f>
        <v/>
      </c>
      <c r="AA125" s="166" t="str">
        <f>IF(Table2[[#This Row],[Counter Number]]="","",Table1[[#This Row],[Engine Family Name:]])</f>
        <v/>
      </c>
      <c r="AB125" s="60" t="str">
        <f>IF(Table2[[#This Row],[Counter Number]]="","","ULSD")</f>
        <v/>
      </c>
      <c r="AC125" s="167" t="str">
        <f>IF(Table2[[#This Row],[Counter Number]]="","",Table2[[#This Row],[Annual Miles Traveled:]]/Table1[[#This Row],[Old Fuel (mpg)]])</f>
        <v/>
      </c>
      <c r="AD125" s="60" t="str">
        <f>IF(Table2[[#This Row],[Counter Number]]="","","NA")</f>
        <v/>
      </c>
      <c r="AE125" s="168" t="str">
        <f>IF(Table2[[#This Row],[Counter Number]]="","",Table1[[#This Row],[Annual Miles Traveled]])</f>
        <v/>
      </c>
      <c r="AF125" s="169" t="str">
        <f>IF(Table2[[#This Row],[Counter Number]]="","",Table1[[#This Row],[Annual Idling Hours:]])</f>
        <v/>
      </c>
      <c r="AG125" s="60" t="str">
        <f>IF(Table2[[#This Row],[Counter Number]]="","","NA")</f>
        <v/>
      </c>
      <c r="AH125" s="165" t="str">
        <f>IF(Table2[[#This Row],[Counter Number]]="","",IF(Application!$J$25="Set Policy",Table1[[#This Row],[Remaining Life (years)         Set Policy]],Table1[[#This Row],[Remaining Life (years)               Case-by-Case]]))</f>
        <v/>
      </c>
      <c r="AI125" s="165" t="str">
        <f>IF(Table2[[#This Row],[Counter Number]]="","",IF(Application!$J$25="Case-by-Case","NA",Table2[[#This Row],[Fiscal Year of EPA Funds Used:]]+Table2[[#This Row],[Remaining Life:]]))</f>
        <v/>
      </c>
      <c r="AJ125" s="165"/>
      <c r="AK125" s="170" t="str">
        <f>IF(Table2[[#This Row],[Counter Number]]="","",Application!$D$14+1)</f>
        <v/>
      </c>
      <c r="AL125" s="60" t="str">
        <f>IF(Table2[[#This Row],[Counter Number]]="","","Vehicle Replacement")</f>
        <v/>
      </c>
      <c r="AM12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5" s="171" t="str">
        <f>IF(Table2[[#This Row],[Counter Number]]="","",Table1[[#This Row],[Cost of New Bus:]])</f>
        <v/>
      </c>
      <c r="AO125" s="60" t="str">
        <f>IF(Table2[[#This Row],[Counter Number]]="","","NA")</f>
        <v/>
      </c>
      <c r="AP125" s="165" t="str">
        <f>IF(Table2[[#This Row],[Counter Number]]="","",Table1[[#This Row],[New Engine Model Year:]])</f>
        <v/>
      </c>
      <c r="AQ125" s="60" t="str">
        <f>IF(Table2[[#This Row],[Counter Number]]="","","NA")</f>
        <v/>
      </c>
      <c r="AR125" s="165" t="str">
        <f>IF(Table2[[#This Row],[Counter Number]]="","",Table1[[#This Row],[New Engine Horsepower (HP):]])</f>
        <v/>
      </c>
      <c r="AS125" s="60" t="str">
        <f>IF(Table2[[#This Row],[Counter Number]]="","","NA")</f>
        <v/>
      </c>
      <c r="AT125" s="165" t="str">
        <f>IF(Table2[[#This Row],[Counter Number]]="","",Table1[[#This Row],[New Engine Cylinder Displacement (L):]]&amp;" L")</f>
        <v/>
      </c>
      <c r="AU125" s="114" t="str">
        <f>IF(Table2[[#This Row],[Counter Number]]="","",Table1[[#This Row],[New Engine Number of Cylinders:]])</f>
        <v/>
      </c>
      <c r="AV125" s="60" t="str">
        <f>IF(Table2[[#This Row],[Counter Number]]="","",Table1[[#This Row],[New Engine Family Name:]])</f>
        <v/>
      </c>
      <c r="AW12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5" s="60" t="str">
        <f>IF(Table2[[#This Row],[Counter Number]]="","","NA")</f>
        <v/>
      </c>
      <c r="AY125" s="172" t="str">
        <f>IF(Table2[[#This Row],[Counter Number]]="","",IF(Table2[[#This Row],[New Engine Fuel Type:]]="ULSD",Table1[[#This Row],[Annual Miles Traveled]]/Table1[[#This Row],[New Fuel (mpg) if Diesel]],""))</f>
        <v/>
      </c>
      <c r="AZ125" s="60"/>
      <c r="BA125" s="173" t="str">
        <f>IF(Table2[[#This Row],[Counter Number]]="","",Table2[[#This Row],[Annual Miles Traveled:]]*VLOOKUP(Table2[[#This Row],[Engine Model Year:]],EFTable[],3,FALSE))</f>
        <v/>
      </c>
      <c r="BB125" s="173" t="str">
        <f>IF(Table2[[#This Row],[Counter Number]]="","",Table2[[#This Row],[Annual Miles Traveled:]]*IF(Table2[[#This Row],[New Engine Fuel Type:]]="ULSD",VLOOKUP(Table2[[#This Row],[New Engine Model Year:]],EFTable[],3,FALSE),VLOOKUP(Table2[[#This Row],[New Engine Fuel Type:]],EFTable[],3,FALSE)))</f>
        <v/>
      </c>
      <c r="BC125" s="187" t="str">
        <f>IF(Table2[[#This Row],[Counter Number]]="","",Table2[[#This Row],[Old Bus NOx Emissions (tons/yr)]]-Table2[[#This Row],[New Bus NOx Emissions (tons/yr)]])</f>
        <v/>
      </c>
      <c r="BD125" s="188" t="str">
        <f>IF(Table2[[#This Row],[Counter Number]]="","",Table2[[#This Row],[Reduction Bus NOx Emissions (tons/yr)]]/Table2[[#This Row],[Old Bus NOx Emissions (tons/yr)]])</f>
        <v/>
      </c>
      <c r="BE125" s="175" t="str">
        <f>IF(Table2[[#This Row],[Counter Number]]="","",Table2[[#This Row],[Reduction Bus NOx Emissions (tons/yr)]]*Table2[[#This Row],[Remaining Life:]])</f>
        <v/>
      </c>
      <c r="BF125" s="189" t="str">
        <f>IF(Table2[[#This Row],[Counter Number]]="","",IF(Table2[[#This Row],[Lifetime NOx Reduction (tons)]]=0,"NA",Table2[[#This Row],[Upgrade Cost Per Unit]]/Table2[[#This Row],[Lifetime NOx Reduction (tons)]]))</f>
        <v/>
      </c>
      <c r="BG125" s="190" t="str">
        <f>IF(Table2[[#This Row],[Counter Number]]="","",Table2[[#This Row],[Annual Miles Traveled:]]*VLOOKUP(Table2[[#This Row],[Engine Model Year:]],EF!$A$2:$G$27,4,FALSE))</f>
        <v/>
      </c>
      <c r="BH125" s="173" t="str">
        <f>IF(Table2[[#This Row],[Counter Number]]="","",Table2[[#This Row],[Annual Miles Traveled:]]*IF(Table2[[#This Row],[New Engine Fuel Type:]]="ULSD",VLOOKUP(Table2[[#This Row],[New Engine Model Year:]],EFTable[],4,FALSE),VLOOKUP(Table2[[#This Row],[New Engine Fuel Type:]],EFTable[],4,FALSE)))</f>
        <v/>
      </c>
      <c r="BI125" s="191" t="str">
        <f>IF(Table2[[#This Row],[Counter Number]]="","",Table2[[#This Row],[Old Bus PM2.5 Emissions (tons/yr)]]-Table2[[#This Row],[New Bus PM2.5 Emissions (tons/yr)]])</f>
        <v/>
      </c>
      <c r="BJ125" s="192" t="str">
        <f>IF(Table2[[#This Row],[Counter Number]]="","",Table2[[#This Row],[Reduction Bus PM2.5 Emissions (tons/yr)]]/Table2[[#This Row],[Old Bus PM2.5 Emissions (tons/yr)]])</f>
        <v/>
      </c>
      <c r="BK125" s="193" t="str">
        <f>IF(Table2[[#This Row],[Counter Number]]="","",Table2[[#This Row],[Reduction Bus PM2.5 Emissions (tons/yr)]]*Table2[[#This Row],[Remaining Life:]])</f>
        <v/>
      </c>
      <c r="BL125" s="194" t="str">
        <f>IF(Table2[[#This Row],[Counter Number]]="","",IF(Table2[[#This Row],[Lifetime PM2.5 Reduction (tons)]]=0,"NA",Table2[[#This Row],[Upgrade Cost Per Unit]]/Table2[[#This Row],[Lifetime PM2.5 Reduction (tons)]]))</f>
        <v/>
      </c>
      <c r="BM125" s="179" t="str">
        <f>IF(Table2[[#This Row],[Counter Number]]="","",Table2[[#This Row],[Annual Miles Traveled:]]*VLOOKUP(Table2[[#This Row],[Engine Model Year:]],EF!$A$2:$G$40,5,FALSE))</f>
        <v/>
      </c>
      <c r="BN125" s="173" t="str">
        <f>IF(Table2[[#This Row],[Counter Number]]="","",Table2[[#This Row],[Annual Miles Traveled:]]*IF(Table2[[#This Row],[New Engine Fuel Type:]]="ULSD",VLOOKUP(Table2[[#This Row],[New Engine Model Year:]],EFTable[],5,FALSE),VLOOKUP(Table2[[#This Row],[New Engine Fuel Type:]],EFTable[],5,FALSE)))</f>
        <v/>
      </c>
      <c r="BO125" s="190" t="str">
        <f>IF(Table2[[#This Row],[Counter Number]]="","",Table2[[#This Row],[Old Bus HC Emissions (tons/yr)]]-Table2[[#This Row],[New Bus HC Emissions (tons/yr)]])</f>
        <v/>
      </c>
      <c r="BP125" s="188" t="str">
        <f>IF(Table2[[#This Row],[Counter Number]]="","",Table2[[#This Row],[Reduction Bus HC Emissions (tons/yr)]]/Table2[[#This Row],[Old Bus HC Emissions (tons/yr)]])</f>
        <v/>
      </c>
      <c r="BQ125" s="193" t="str">
        <f>IF(Table2[[#This Row],[Counter Number]]="","",Table2[[#This Row],[Reduction Bus HC Emissions (tons/yr)]]*Table2[[#This Row],[Remaining Life:]])</f>
        <v/>
      </c>
      <c r="BR125" s="194" t="str">
        <f>IF(Table2[[#This Row],[Counter Number]]="","",IF(Table2[[#This Row],[Lifetime HC Reduction (tons)]]=0,"NA",Table2[[#This Row],[Upgrade Cost Per Unit]]/Table2[[#This Row],[Lifetime HC Reduction (tons)]]))</f>
        <v/>
      </c>
      <c r="BS125" s="191" t="str">
        <f>IF(Table2[[#This Row],[Counter Number]]="","",Table2[[#This Row],[Annual Miles Traveled:]]*VLOOKUP(Table2[[#This Row],[Engine Model Year:]],EF!$A$2:$G$27,6,FALSE))</f>
        <v/>
      </c>
      <c r="BT125" s="173" t="str">
        <f>IF(Table2[[#This Row],[Counter Number]]="","",Table2[[#This Row],[Annual Miles Traveled:]]*IF(Table2[[#This Row],[New Engine Fuel Type:]]="ULSD",VLOOKUP(Table2[[#This Row],[New Engine Model Year:]],EFTable[],6,FALSE),VLOOKUP(Table2[[#This Row],[New Engine Fuel Type:]],EFTable[],6,FALSE)))</f>
        <v/>
      </c>
      <c r="BU125" s="190" t="str">
        <f>IF(Table2[[#This Row],[Counter Number]]="","",Table2[[#This Row],[Old Bus CO Emissions (tons/yr)]]-Table2[[#This Row],[New Bus CO Emissions (tons/yr)]])</f>
        <v/>
      </c>
      <c r="BV125" s="188" t="str">
        <f>IF(Table2[[#This Row],[Counter Number]]="","",Table2[[#This Row],[Reduction Bus CO Emissions (tons/yr)]]/Table2[[#This Row],[Old Bus CO Emissions (tons/yr)]])</f>
        <v/>
      </c>
      <c r="BW125" s="193" t="str">
        <f>IF(Table2[[#This Row],[Counter Number]]="","",Table2[[#This Row],[Reduction Bus CO Emissions (tons/yr)]]*Table2[[#This Row],[Remaining Life:]])</f>
        <v/>
      </c>
      <c r="BX125" s="194" t="str">
        <f>IF(Table2[[#This Row],[Counter Number]]="","",IF(Table2[[#This Row],[Lifetime CO Reduction (tons)]]=0,"NA",Table2[[#This Row],[Upgrade Cost Per Unit]]/Table2[[#This Row],[Lifetime CO Reduction (tons)]]))</f>
        <v/>
      </c>
      <c r="BY125" s="180" t="str">
        <f>IF(Table2[[#This Row],[Counter Number]]="","",Table2[[#This Row],[Old ULSD Used (gal):]]*VLOOKUP(Table2[[#This Row],[Engine Model Year:]],EF!$A$2:$G$27,7,FALSE))</f>
        <v/>
      </c>
      <c r="BZ12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5" s="195" t="str">
        <f>IF(Table2[[#This Row],[Counter Number]]="","",Table2[[#This Row],[Old Bus CO2 Emissions (tons/yr)]]-Table2[[#This Row],[New Bus CO2 Emissions (tons/yr)]])</f>
        <v/>
      </c>
      <c r="CB125" s="188" t="str">
        <f>IF(Table2[[#This Row],[Counter Number]]="","",Table2[[#This Row],[Reduction Bus CO2 Emissions (tons/yr)]]/Table2[[#This Row],[Old Bus CO2 Emissions (tons/yr)]])</f>
        <v/>
      </c>
      <c r="CC125" s="195" t="str">
        <f>IF(Table2[[#This Row],[Counter Number]]="","",Table2[[#This Row],[Reduction Bus CO2 Emissions (tons/yr)]]*Table2[[#This Row],[Remaining Life:]])</f>
        <v/>
      </c>
      <c r="CD125" s="194" t="str">
        <f>IF(Table2[[#This Row],[Counter Number]]="","",IF(Table2[[#This Row],[Lifetime CO2 Reduction (tons)]]=0,"NA",Table2[[#This Row],[Upgrade Cost Per Unit]]/Table2[[#This Row],[Lifetime CO2 Reduction (tons)]]))</f>
        <v/>
      </c>
      <c r="CE125" s="182" t="str">
        <f>IF(Table2[[#This Row],[Counter Number]]="","",IF(Table2[[#This Row],[New ULSD Used (gal):]]="",Table2[[#This Row],[Old ULSD Used (gal):]],Table2[[#This Row],[Old ULSD Used (gal):]]-Table2[[#This Row],[New ULSD Used (gal):]]))</f>
        <v/>
      </c>
      <c r="CF125" s="196" t="str">
        <f>IF(Table2[[#This Row],[Counter Number]]="","",Table2[[#This Row],[Diesel Fuel Reduction (gal/yr)]]/Table2[[#This Row],[Old ULSD Used (gal):]])</f>
        <v/>
      </c>
      <c r="CG125" s="197" t="str">
        <f>IF(Table2[[#This Row],[Counter Number]]="","",Table2[[#This Row],[Diesel Fuel Reduction (gal/yr)]]*Table2[[#This Row],[Remaining Life:]])</f>
        <v/>
      </c>
    </row>
    <row r="126" spans="1:85">
      <c r="A126" s="184" t="str">
        <f>IF(A125&lt;Application!$D$24,A125+1,"")</f>
        <v/>
      </c>
      <c r="B126" s="60" t="str">
        <f>IF(Table2[[#This Row],[Counter Number]]="","",Application!$D$16)</f>
        <v/>
      </c>
      <c r="C126" s="60" t="str">
        <f>IF(Table2[[#This Row],[Counter Number]]="","",Application!$D$14)</f>
        <v/>
      </c>
      <c r="D126" s="60" t="str">
        <f>IF(Table2[[#This Row],[Counter Number]]="","",Table1[[#This Row],[Old Bus Number]])</f>
        <v/>
      </c>
      <c r="E126" s="60" t="str">
        <f>IF(Table2[[#This Row],[Counter Number]]="","",Application!$D$15)</f>
        <v/>
      </c>
      <c r="F126" s="60" t="str">
        <f>IF(Table2[[#This Row],[Counter Number]]="","","On Highway")</f>
        <v/>
      </c>
      <c r="G126" s="60" t="str">
        <f>IF(Table2[[#This Row],[Counter Number]]="","",I126)</f>
        <v/>
      </c>
      <c r="H126" s="60" t="str">
        <f>IF(Table2[[#This Row],[Counter Number]]="","","Georgia")</f>
        <v/>
      </c>
      <c r="I126" s="60" t="str">
        <f>IF(Table2[[#This Row],[Counter Number]]="","",Application!$D$16)</f>
        <v/>
      </c>
      <c r="J126" s="60" t="str">
        <f>IF(Table2[[#This Row],[Counter Number]]="","",Application!$D$21)</f>
        <v/>
      </c>
      <c r="K126" s="60" t="str">
        <f>IF(Table2[[#This Row],[Counter Number]]="","",Application!$J$21)</f>
        <v/>
      </c>
      <c r="L126" s="60" t="str">
        <f>IF(Table2[[#This Row],[Counter Number]]="","","School Bus")</f>
        <v/>
      </c>
      <c r="M126" s="60" t="str">
        <f>IF(Table2[[#This Row],[Counter Number]]="","","School Bus")</f>
        <v/>
      </c>
      <c r="N126" s="60" t="str">
        <f>IF(Table2[[#This Row],[Counter Number]]="","",1)</f>
        <v/>
      </c>
      <c r="O126" s="60" t="str">
        <f>IF(Table2[[#This Row],[Counter Number]]="","",Table1[[#This Row],[Vehicle Identification Number(s):]])</f>
        <v/>
      </c>
      <c r="P126" s="60" t="str">
        <f>IF(Table2[[#This Row],[Counter Number]]="","",Table1[[#This Row],[Old Bus Manufacturer:]])</f>
        <v/>
      </c>
      <c r="Q126" s="60" t="str">
        <f>IF(Table2[[#This Row],[Counter Number]]="","",Table1[[#This Row],[Vehicle Model:]])</f>
        <v/>
      </c>
      <c r="R126" s="165" t="str">
        <f>IF(Table2[[#This Row],[Counter Number]]="","",Table1[[#This Row],[Vehicle Model Year:]])</f>
        <v/>
      </c>
      <c r="S126" s="60" t="str">
        <f>IF(Table2[[#This Row],[Counter Number]]="","",Table1[[#This Row],[Engine Serial Number(s):]])</f>
        <v/>
      </c>
      <c r="T126" s="60" t="str">
        <f>IF(Table2[[#This Row],[Counter Number]]="","",Table1[[#This Row],[Engine Make:]])</f>
        <v/>
      </c>
      <c r="U126" s="60" t="str">
        <f>IF(Table2[[#This Row],[Counter Number]]="","",Table1[[#This Row],[Engine Model:]])</f>
        <v/>
      </c>
      <c r="V126" s="165" t="str">
        <f>IF(Table2[[#This Row],[Counter Number]]="","",Table1[[#This Row],[Engine Model Year:]])</f>
        <v/>
      </c>
      <c r="W126" s="60" t="str">
        <f>IF(Table2[[#This Row],[Counter Number]]="","","NA")</f>
        <v/>
      </c>
      <c r="X126" s="165" t="str">
        <f>IF(Table2[[#This Row],[Counter Number]]="","",Table1[[#This Row],[Engine Horsepower (HP):]])</f>
        <v/>
      </c>
      <c r="Y126" s="165" t="str">
        <f>IF(Table2[[#This Row],[Counter Number]]="","",Table1[[#This Row],[Engine Cylinder Displacement (L):]]&amp;" L")</f>
        <v/>
      </c>
      <c r="Z126" s="165" t="str">
        <f>IF(Table2[[#This Row],[Counter Number]]="","",Table1[[#This Row],[Engine Number of Cylinders:]])</f>
        <v/>
      </c>
      <c r="AA126" s="166" t="str">
        <f>IF(Table2[[#This Row],[Counter Number]]="","",Table1[[#This Row],[Engine Family Name:]])</f>
        <v/>
      </c>
      <c r="AB126" s="60" t="str">
        <f>IF(Table2[[#This Row],[Counter Number]]="","","ULSD")</f>
        <v/>
      </c>
      <c r="AC126" s="167" t="str">
        <f>IF(Table2[[#This Row],[Counter Number]]="","",Table2[[#This Row],[Annual Miles Traveled:]]/Table1[[#This Row],[Old Fuel (mpg)]])</f>
        <v/>
      </c>
      <c r="AD126" s="60" t="str">
        <f>IF(Table2[[#This Row],[Counter Number]]="","","NA")</f>
        <v/>
      </c>
      <c r="AE126" s="168" t="str">
        <f>IF(Table2[[#This Row],[Counter Number]]="","",Table1[[#This Row],[Annual Miles Traveled]])</f>
        <v/>
      </c>
      <c r="AF126" s="169" t="str">
        <f>IF(Table2[[#This Row],[Counter Number]]="","",Table1[[#This Row],[Annual Idling Hours:]])</f>
        <v/>
      </c>
      <c r="AG126" s="60" t="str">
        <f>IF(Table2[[#This Row],[Counter Number]]="","","NA")</f>
        <v/>
      </c>
      <c r="AH126" s="165" t="str">
        <f>IF(Table2[[#This Row],[Counter Number]]="","",IF(Application!$J$25="Set Policy",Table1[[#This Row],[Remaining Life (years)         Set Policy]],Table1[[#This Row],[Remaining Life (years)               Case-by-Case]]))</f>
        <v/>
      </c>
      <c r="AI126" s="165" t="str">
        <f>IF(Table2[[#This Row],[Counter Number]]="","",IF(Application!$J$25="Case-by-Case","NA",Table2[[#This Row],[Fiscal Year of EPA Funds Used:]]+Table2[[#This Row],[Remaining Life:]]))</f>
        <v/>
      </c>
      <c r="AJ126" s="165"/>
      <c r="AK126" s="170" t="str">
        <f>IF(Table2[[#This Row],[Counter Number]]="","",Application!$D$14+1)</f>
        <v/>
      </c>
      <c r="AL126" s="60" t="str">
        <f>IF(Table2[[#This Row],[Counter Number]]="","","Vehicle Replacement")</f>
        <v/>
      </c>
      <c r="AM12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6" s="171" t="str">
        <f>IF(Table2[[#This Row],[Counter Number]]="","",Table1[[#This Row],[Cost of New Bus:]])</f>
        <v/>
      </c>
      <c r="AO126" s="60" t="str">
        <f>IF(Table2[[#This Row],[Counter Number]]="","","NA")</f>
        <v/>
      </c>
      <c r="AP126" s="165" t="str">
        <f>IF(Table2[[#This Row],[Counter Number]]="","",Table1[[#This Row],[New Engine Model Year:]])</f>
        <v/>
      </c>
      <c r="AQ126" s="60" t="str">
        <f>IF(Table2[[#This Row],[Counter Number]]="","","NA")</f>
        <v/>
      </c>
      <c r="AR126" s="165" t="str">
        <f>IF(Table2[[#This Row],[Counter Number]]="","",Table1[[#This Row],[New Engine Horsepower (HP):]])</f>
        <v/>
      </c>
      <c r="AS126" s="60" t="str">
        <f>IF(Table2[[#This Row],[Counter Number]]="","","NA")</f>
        <v/>
      </c>
      <c r="AT126" s="165" t="str">
        <f>IF(Table2[[#This Row],[Counter Number]]="","",Table1[[#This Row],[New Engine Cylinder Displacement (L):]]&amp;" L")</f>
        <v/>
      </c>
      <c r="AU126" s="114" t="str">
        <f>IF(Table2[[#This Row],[Counter Number]]="","",Table1[[#This Row],[New Engine Number of Cylinders:]])</f>
        <v/>
      </c>
      <c r="AV126" s="60" t="str">
        <f>IF(Table2[[#This Row],[Counter Number]]="","",Table1[[#This Row],[New Engine Family Name:]])</f>
        <v/>
      </c>
      <c r="AW12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6" s="60" t="str">
        <f>IF(Table2[[#This Row],[Counter Number]]="","","NA")</f>
        <v/>
      </c>
      <c r="AY126" s="172" t="str">
        <f>IF(Table2[[#This Row],[Counter Number]]="","",IF(Table2[[#This Row],[New Engine Fuel Type:]]="ULSD",Table1[[#This Row],[Annual Miles Traveled]]/Table1[[#This Row],[New Fuel (mpg) if Diesel]],""))</f>
        <v/>
      </c>
      <c r="AZ126" s="60"/>
      <c r="BA126" s="173" t="str">
        <f>IF(Table2[[#This Row],[Counter Number]]="","",Table2[[#This Row],[Annual Miles Traveled:]]*VLOOKUP(Table2[[#This Row],[Engine Model Year:]],EFTable[],3,FALSE))</f>
        <v/>
      </c>
      <c r="BB126" s="173" t="str">
        <f>IF(Table2[[#This Row],[Counter Number]]="","",Table2[[#This Row],[Annual Miles Traveled:]]*IF(Table2[[#This Row],[New Engine Fuel Type:]]="ULSD",VLOOKUP(Table2[[#This Row],[New Engine Model Year:]],EFTable[],3,FALSE),VLOOKUP(Table2[[#This Row],[New Engine Fuel Type:]],EFTable[],3,FALSE)))</f>
        <v/>
      </c>
      <c r="BC126" s="187" t="str">
        <f>IF(Table2[[#This Row],[Counter Number]]="","",Table2[[#This Row],[Old Bus NOx Emissions (tons/yr)]]-Table2[[#This Row],[New Bus NOx Emissions (tons/yr)]])</f>
        <v/>
      </c>
      <c r="BD126" s="188" t="str">
        <f>IF(Table2[[#This Row],[Counter Number]]="","",Table2[[#This Row],[Reduction Bus NOx Emissions (tons/yr)]]/Table2[[#This Row],[Old Bus NOx Emissions (tons/yr)]])</f>
        <v/>
      </c>
      <c r="BE126" s="175" t="str">
        <f>IF(Table2[[#This Row],[Counter Number]]="","",Table2[[#This Row],[Reduction Bus NOx Emissions (tons/yr)]]*Table2[[#This Row],[Remaining Life:]])</f>
        <v/>
      </c>
      <c r="BF126" s="189" t="str">
        <f>IF(Table2[[#This Row],[Counter Number]]="","",IF(Table2[[#This Row],[Lifetime NOx Reduction (tons)]]=0,"NA",Table2[[#This Row],[Upgrade Cost Per Unit]]/Table2[[#This Row],[Lifetime NOx Reduction (tons)]]))</f>
        <v/>
      </c>
      <c r="BG126" s="190" t="str">
        <f>IF(Table2[[#This Row],[Counter Number]]="","",Table2[[#This Row],[Annual Miles Traveled:]]*VLOOKUP(Table2[[#This Row],[Engine Model Year:]],EF!$A$2:$G$27,4,FALSE))</f>
        <v/>
      </c>
      <c r="BH126" s="173" t="str">
        <f>IF(Table2[[#This Row],[Counter Number]]="","",Table2[[#This Row],[Annual Miles Traveled:]]*IF(Table2[[#This Row],[New Engine Fuel Type:]]="ULSD",VLOOKUP(Table2[[#This Row],[New Engine Model Year:]],EFTable[],4,FALSE),VLOOKUP(Table2[[#This Row],[New Engine Fuel Type:]],EFTable[],4,FALSE)))</f>
        <v/>
      </c>
      <c r="BI126" s="191" t="str">
        <f>IF(Table2[[#This Row],[Counter Number]]="","",Table2[[#This Row],[Old Bus PM2.5 Emissions (tons/yr)]]-Table2[[#This Row],[New Bus PM2.5 Emissions (tons/yr)]])</f>
        <v/>
      </c>
      <c r="BJ126" s="192" t="str">
        <f>IF(Table2[[#This Row],[Counter Number]]="","",Table2[[#This Row],[Reduction Bus PM2.5 Emissions (tons/yr)]]/Table2[[#This Row],[Old Bus PM2.5 Emissions (tons/yr)]])</f>
        <v/>
      </c>
      <c r="BK126" s="193" t="str">
        <f>IF(Table2[[#This Row],[Counter Number]]="","",Table2[[#This Row],[Reduction Bus PM2.5 Emissions (tons/yr)]]*Table2[[#This Row],[Remaining Life:]])</f>
        <v/>
      </c>
      <c r="BL126" s="194" t="str">
        <f>IF(Table2[[#This Row],[Counter Number]]="","",IF(Table2[[#This Row],[Lifetime PM2.5 Reduction (tons)]]=0,"NA",Table2[[#This Row],[Upgrade Cost Per Unit]]/Table2[[#This Row],[Lifetime PM2.5 Reduction (tons)]]))</f>
        <v/>
      </c>
      <c r="BM126" s="179" t="str">
        <f>IF(Table2[[#This Row],[Counter Number]]="","",Table2[[#This Row],[Annual Miles Traveled:]]*VLOOKUP(Table2[[#This Row],[Engine Model Year:]],EF!$A$2:$G$40,5,FALSE))</f>
        <v/>
      </c>
      <c r="BN126" s="173" t="str">
        <f>IF(Table2[[#This Row],[Counter Number]]="","",Table2[[#This Row],[Annual Miles Traveled:]]*IF(Table2[[#This Row],[New Engine Fuel Type:]]="ULSD",VLOOKUP(Table2[[#This Row],[New Engine Model Year:]],EFTable[],5,FALSE),VLOOKUP(Table2[[#This Row],[New Engine Fuel Type:]],EFTable[],5,FALSE)))</f>
        <v/>
      </c>
      <c r="BO126" s="190" t="str">
        <f>IF(Table2[[#This Row],[Counter Number]]="","",Table2[[#This Row],[Old Bus HC Emissions (tons/yr)]]-Table2[[#This Row],[New Bus HC Emissions (tons/yr)]])</f>
        <v/>
      </c>
      <c r="BP126" s="188" t="str">
        <f>IF(Table2[[#This Row],[Counter Number]]="","",Table2[[#This Row],[Reduction Bus HC Emissions (tons/yr)]]/Table2[[#This Row],[Old Bus HC Emissions (tons/yr)]])</f>
        <v/>
      </c>
      <c r="BQ126" s="193" t="str">
        <f>IF(Table2[[#This Row],[Counter Number]]="","",Table2[[#This Row],[Reduction Bus HC Emissions (tons/yr)]]*Table2[[#This Row],[Remaining Life:]])</f>
        <v/>
      </c>
      <c r="BR126" s="194" t="str">
        <f>IF(Table2[[#This Row],[Counter Number]]="","",IF(Table2[[#This Row],[Lifetime HC Reduction (tons)]]=0,"NA",Table2[[#This Row],[Upgrade Cost Per Unit]]/Table2[[#This Row],[Lifetime HC Reduction (tons)]]))</f>
        <v/>
      </c>
      <c r="BS126" s="191" t="str">
        <f>IF(Table2[[#This Row],[Counter Number]]="","",Table2[[#This Row],[Annual Miles Traveled:]]*VLOOKUP(Table2[[#This Row],[Engine Model Year:]],EF!$A$2:$G$27,6,FALSE))</f>
        <v/>
      </c>
      <c r="BT126" s="173" t="str">
        <f>IF(Table2[[#This Row],[Counter Number]]="","",Table2[[#This Row],[Annual Miles Traveled:]]*IF(Table2[[#This Row],[New Engine Fuel Type:]]="ULSD",VLOOKUP(Table2[[#This Row],[New Engine Model Year:]],EFTable[],6,FALSE),VLOOKUP(Table2[[#This Row],[New Engine Fuel Type:]],EFTable[],6,FALSE)))</f>
        <v/>
      </c>
      <c r="BU126" s="190" t="str">
        <f>IF(Table2[[#This Row],[Counter Number]]="","",Table2[[#This Row],[Old Bus CO Emissions (tons/yr)]]-Table2[[#This Row],[New Bus CO Emissions (tons/yr)]])</f>
        <v/>
      </c>
      <c r="BV126" s="188" t="str">
        <f>IF(Table2[[#This Row],[Counter Number]]="","",Table2[[#This Row],[Reduction Bus CO Emissions (tons/yr)]]/Table2[[#This Row],[Old Bus CO Emissions (tons/yr)]])</f>
        <v/>
      </c>
      <c r="BW126" s="193" t="str">
        <f>IF(Table2[[#This Row],[Counter Number]]="","",Table2[[#This Row],[Reduction Bus CO Emissions (tons/yr)]]*Table2[[#This Row],[Remaining Life:]])</f>
        <v/>
      </c>
      <c r="BX126" s="194" t="str">
        <f>IF(Table2[[#This Row],[Counter Number]]="","",IF(Table2[[#This Row],[Lifetime CO Reduction (tons)]]=0,"NA",Table2[[#This Row],[Upgrade Cost Per Unit]]/Table2[[#This Row],[Lifetime CO Reduction (tons)]]))</f>
        <v/>
      </c>
      <c r="BY126" s="180" t="str">
        <f>IF(Table2[[#This Row],[Counter Number]]="","",Table2[[#This Row],[Old ULSD Used (gal):]]*VLOOKUP(Table2[[#This Row],[Engine Model Year:]],EF!$A$2:$G$27,7,FALSE))</f>
        <v/>
      </c>
      <c r="BZ12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6" s="195" t="str">
        <f>IF(Table2[[#This Row],[Counter Number]]="","",Table2[[#This Row],[Old Bus CO2 Emissions (tons/yr)]]-Table2[[#This Row],[New Bus CO2 Emissions (tons/yr)]])</f>
        <v/>
      </c>
      <c r="CB126" s="188" t="str">
        <f>IF(Table2[[#This Row],[Counter Number]]="","",Table2[[#This Row],[Reduction Bus CO2 Emissions (tons/yr)]]/Table2[[#This Row],[Old Bus CO2 Emissions (tons/yr)]])</f>
        <v/>
      </c>
      <c r="CC126" s="195" t="str">
        <f>IF(Table2[[#This Row],[Counter Number]]="","",Table2[[#This Row],[Reduction Bus CO2 Emissions (tons/yr)]]*Table2[[#This Row],[Remaining Life:]])</f>
        <v/>
      </c>
      <c r="CD126" s="194" t="str">
        <f>IF(Table2[[#This Row],[Counter Number]]="","",IF(Table2[[#This Row],[Lifetime CO2 Reduction (tons)]]=0,"NA",Table2[[#This Row],[Upgrade Cost Per Unit]]/Table2[[#This Row],[Lifetime CO2 Reduction (tons)]]))</f>
        <v/>
      </c>
      <c r="CE126" s="182" t="str">
        <f>IF(Table2[[#This Row],[Counter Number]]="","",IF(Table2[[#This Row],[New ULSD Used (gal):]]="",Table2[[#This Row],[Old ULSD Used (gal):]],Table2[[#This Row],[Old ULSD Used (gal):]]-Table2[[#This Row],[New ULSD Used (gal):]]))</f>
        <v/>
      </c>
      <c r="CF126" s="196" t="str">
        <f>IF(Table2[[#This Row],[Counter Number]]="","",Table2[[#This Row],[Diesel Fuel Reduction (gal/yr)]]/Table2[[#This Row],[Old ULSD Used (gal):]])</f>
        <v/>
      </c>
      <c r="CG126" s="197" t="str">
        <f>IF(Table2[[#This Row],[Counter Number]]="","",Table2[[#This Row],[Diesel Fuel Reduction (gal/yr)]]*Table2[[#This Row],[Remaining Life:]])</f>
        <v/>
      </c>
    </row>
    <row r="127" spans="1:85">
      <c r="A127" s="184" t="str">
        <f>IF(A126&lt;Application!$D$24,A126+1,"")</f>
        <v/>
      </c>
      <c r="B127" s="60" t="str">
        <f>IF(Table2[[#This Row],[Counter Number]]="","",Application!$D$16)</f>
        <v/>
      </c>
      <c r="C127" s="60" t="str">
        <f>IF(Table2[[#This Row],[Counter Number]]="","",Application!$D$14)</f>
        <v/>
      </c>
      <c r="D127" s="60" t="str">
        <f>IF(Table2[[#This Row],[Counter Number]]="","",Table1[[#This Row],[Old Bus Number]])</f>
        <v/>
      </c>
      <c r="E127" s="60" t="str">
        <f>IF(Table2[[#This Row],[Counter Number]]="","",Application!$D$15)</f>
        <v/>
      </c>
      <c r="F127" s="60" t="str">
        <f>IF(Table2[[#This Row],[Counter Number]]="","","On Highway")</f>
        <v/>
      </c>
      <c r="G127" s="60" t="str">
        <f>IF(Table2[[#This Row],[Counter Number]]="","",I127)</f>
        <v/>
      </c>
      <c r="H127" s="60" t="str">
        <f>IF(Table2[[#This Row],[Counter Number]]="","","Georgia")</f>
        <v/>
      </c>
      <c r="I127" s="60" t="str">
        <f>IF(Table2[[#This Row],[Counter Number]]="","",Application!$D$16)</f>
        <v/>
      </c>
      <c r="J127" s="60" t="str">
        <f>IF(Table2[[#This Row],[Counter Number]]="","",Application!$D$21)</f>
        <v/>
      </c>
      <c r="K127" s="60" t="str">
        <f>IF(Table2[[#This Row],[Counter Number]]="","",Application!$J$21)</f>
        <v/>
      </c>
      <c r="L127" s="60" t="str">
        <f>IF(Table2[[#This Row],[Counter Number]]="","","School Bus")</f>
        <v/>
      </c>
      <c r="M127" s="60" t="str">
        <f>IF(Table2[[#This Row],[Counter Number]]="","","School Bus")</f>
        <v/>
      </c>
      <c r="N127" s="60" t="str">
        <f>IF(Table2[[#This Row],[Counter Number]]="","",1)</f>
        <v/>
      </c>
      <c r="O127" s="60" t="str">
        <f>IF(Table2[[#This Row],[Counter Number]]="","",Table1[[#This Row],[Vehicle Identification Number(s):]])</f>
        <v/>
      </c>
      <c r="P127" s="60" t="str">
        <f>IF(Table2[[#This Row],[Counter Number]]="","",Table1[[#This Row],[Old Bus Manufacturer:]])</f>
        <v/>
      </c>
      <c r="Q127" s="60" t="str">
        <f>IF(Table2[[#This Row],[Counter Number]]="","",Table1[[#This Row],[Vehicle Model:]])</f>
        <v/>
      </c>
      <c r="R127" s="165" t="str">
        <f>IF(Table2[[#This Row],[Counter Number]]="","",Table1[[#This Row],[Vehicle Model Year:]])</f>
        <v/>
      </c>
      <c r="S127" s="60" t="str">
        <f>IF(Table2[[#This Row],[Counter Number]]="","",Table1[[#This Row],[Engine Serial Number(s):]])</f>
        <v/>
      </c>
      <c r="T127" s="60" t="str">
        <f>IF(Table2[[#This Row],[Counter Number]]="","",Table1[[#This Row],[Engine Make:]])</f>
        <v/>
      </c>
      <c r="U127" s="60" t="str">
        <f>IF(Table2[[#This Row],[Counter Number]]="","",Table1[[#This Row],[Engine Model:]])</f>
        <v/>
      </c>
      <c r="V127" s="165" t="str">
        <f>IF(Table2[[#This Row],[Counter Number]]="","",Table1[[#This Row],[Engine Model Year:]])</f>
        <v/>
      </c>
      <c r="W127" s="60" t="str">
        <f>IF(Table2[[#This Row],[Counter Number]]="","","NA")</f>
        <v/>
      </c>
      <c r="X127" s="165" t="str">
        <f>IF(Table2[[#This Row],[Counter Number]]="","",Table1[[#This Row],[Engine Horsepower (HP):]])</f>
        <v/>
      </c>
      <c r="Y127" s="165" t="str">
        <f>IF(Table2[[#This Row],[Counter Number]]="","",Table1[[#This Row],[Engine Cylinder Displacement (L):]]&amp;" L")</f>
        <v/>
      </c>
      <c r="Z127" s="165" t="str">
        <f>IF(Table2[[#This Row],[Counter Number]]="","",Table1[[#This Row],[Engine Number of Cylinders:]])</f>
        <v/>
      </c>
      <c r="AA127" s="166" t="str">
        <f>IF(Table2[[#This Row],[Counter Number]]="","",Table1[[#This Row],[Engine Family Name:]])</f>
        <v/>
      </c>
      <c r="AB127" s="60" t="str">
        <f>IF(Table2[[#This Row],[Counter Number]]="","","ULSD")</f>
        <v/>
      </c>
      <c r="AC127" s="167" t="str">
        <f>IF(Table2[[#This Row],[Counter Number]]="","",Table2[[#This Row],[Annual Miles Traveled:]]/Table1[[#This Row],[Old Fuel (mpg)]])</f>
        <v/>
      </c>
      <c r="AD127" s="60" t="str">
        <f>IF(Table2[[#This Row],[Counter Number]]="","","NA")</f>
        <v/>
      </c>
      <c r="AE127" s="168" t="str">
        <f>IF(Table2[[#This Row],[Counter Number]]="","",Table1[[#This Row],[Annual Miles Traveled]])</f>
        <v/>
      </c>
      <c r="AF127" s="169" t="str">
        <f>IF(Table2[[#This Row],[Counter Number]]="","",Table1[[#This Row],[Annual Idling Hours:]])</f>
        <v/>
      </c>
      <c r="AG127" s="60" t="str">
        <f>IF(Table2[[#This Row],[Counter Number]]="","","NA")</f>
        <v/>
      </c>
      <c r="AH127" s="165" t="str">
        <f>IF(Table2[[#This Row],[Counter Number]]="","",IF(Application!$J$25="Set Policy",Table1[[#This Row],[Remaining Life (years)         Set Policy]],Table1[[#This Row],[Remaining Life (years)               Case-by-Case]]))</f>
        <v/>
      </c>
      <c r="AI127" s="165" t="str">
        <f>IF(Table2[[#This Row],[Counter Number]]="","",IF(Application!$J$25="Case-by-Case","NA",Table2[[#This Row],[Fiscal Year of EPA Funds Used:]]+Table2[[#This Row],[Remaining Life:]]))</f>
        <v/>
      </c>
      <c r="AJ127" s="165"/>
      <c r="AK127" s="170" t="str">
        <f>IF(Table2[[#This Row],[Counter Number]]="","",Application!$D$14+1)</f>
        <v/>
      </c>
      <c r="AL127" s="60" t="str">
        <f>IF(Table2[[#This Row],[Counter Number]]="","","Vehicle Replacement")</f>
        <v/>
      </c>
      <c r="AM12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7" s="171" t="str">
        <f>IF(Table2[[#This Row],[Counter Number]]="","",Table1[[#This Row],[Cost of New Bus:]])</f>
        <v/>
      </c>
      <c r="AO127" s="60" t="str">
        <f>IF(Table2[[#This Row],[Counter Number]]="","","NA")</f>
        <v/>
      </c>
      <c r="AP127" s="165" t="str">
        <f>IF(Table2[[#This Row],[Counter Number]]="","",Table1[[#This Row],[New Engine Model Year:]])</f>
        <v/>
      </c>
      <c r="AQ127" s="60" t="str">
        <f>IF(Table2[[#This Row],[Counter Number]]="","","NA")</f>
        <v/>
      </c>
      <c r="AR127" s="165" t="str">
        <f>IF(Table2[[#This Row],[Counter Number]]="","",Table1[[#This Row],[New Engine Horsepower (HP):]])</f>
        <v/>
      </c>
      <c r="AS127" s="60" t="str">
        <f>IF(Table2[[#This Row],[Counter Number]]="","","NA")</f>
        <v/>
      </c>
      <c r="AT127" s="165" t="str">
        <f>IF(Table2[[#This Row],[Counter Number]]="","",Table1[[#This Row],[New Engine Cylinder Displacement (L):]]&amp;" L")</f>
        <v/>
      </c>
      <c r="AU127" s="114" t="str">
        <f>IF(Table2[[#This Row],[Counter Number]]="","",Table1[[#This Row],[New Engine Number of Cylinders:]])</f>
        <v/>
      </c>
      <c r="AV127" s="60" t="str">
        <f>IF(Table2[[#This Row],[Counter Number]]="","",Table1[[#This Row],[New Engine Family Name:]])</f>
        <v/>
      </c>
      <c r="AW12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7" s="60" t="str">
        <f>IF(Table2[[#This Row],[Counter Number]]="","","NA")</f>
        <v/>
      </c>
      <c r="AY127" s="172" t="str">
        <f>IF(Table2[[#This Row],[Counter Number]]="","",IF(Table2[[#This Row],[New Engine Fuel Type:]]="ULSD",Table1[[#This Row],[Annual Miles Traveled]]/Table1[[#This Row],[New Fuel (mpg) if Diesel]],""))</f>
        <v/>
      </c>
      <c r="AZ127" s="60"/>
      <c r="BA127" s="173" t="str">
        <f>IF(Table2[[#This Row],[Counter Number]]="","",Table2[[#This Row],[Annual Miles Traveled:]]*VLOOKUP(Table2[[#This Row],[Engine Model Year:]],EFTable[],3,FALSE))</f>
        <v/>
      </c>
      <c r="BB127" s="173" t="str">
        <f>IF(Table2[[#This Row],[Counter Number]]="","",Table2[[#This Row],[Annual Miles Traveled:]]*IF(Table2[[#This Row],[New Engine Fuel Type:]]="ULSD",VLOOKUP(Table2[[#This Row],[New Engine Model Year:]],EFTable[],3,FALSE),VLOOKUP(Table2[[#This Row],[New Engine Fuel Type:]],EFTable[],3,FALSE)))</f>
        <v/>
      </c>
      <c r="BC127" s="187" t="str">
        <f>IF(Table2[[#This Row],[Counter Number]]="","",Table2[[#This Row],[Old Bus NOx Emissions (tons/yr)]]-Table2[[#This Row],[New Bus NOx Emissions (tons/yr)]])</f>
        <v/>
      </c>
      <c r="BD127" s="188" t="str">
        <f>IF(Table2[[#This Row],[Counter Number]]="","",Table2[[#This Row],[Reduction Bus NOx Emissions (tons/yr)]]/Table2[[#This Row],[Old Bus NOx Emissions (tons/yr)]])</f>
        <v/>
      </c>
      <c r="BE127" s="175" t="str">
        <f>IF(Table2[[#This Row],[Counter Number]]="","",Table2[[#This Row],[Reduction Bus NOx Emissions (tons/yr)]]*Table2[[#This Row],[Remaining Life:]])</f>
        <v/>
      </c>
      <c r="BF127" s="189" t="str">
        <f>IF(Table2[[#This Row],[Counter Number]]="","",IF(Table2[[#This Row],[Lifetime NOx Reduction (tons)]]=0,"NA",Table2[[#This Row],[Upgrade Cost Per Unit]]/Table2[[#This Row],[Lifetime NOx Reduction (tons)]]))</f>
        <v/>
      </c>
      <c r="BG127" s="190" t="str">
        <f>IF(Table2[[#This Row],[Counter Number]]="","",Table2[[#This Row],[Annual Miles Traveled:]]*VLOOKUP(Table2[[#This Row],[Engine Model Year:]],EF!$A$2:$G$27,4,FALSE))</f>
        <v/>
      </c>
      <c r="BH127" s="173" t="str">
        <f>IF(Table2[[#This Row],[Counter Number]]="","",Table2[[#This Row],[Annual Miles Traveled:]]*IF(Table2[[#This Row],[New Engine Fuel Type:]]="ULSD",VLOOKUP(Table2[[#This Row],[New Engine Model Year:]],EFTable[],4,FALSE),VLOOKUP(Table2[[#This Row],[New Engine Fuel Type:]],EFTable[],4,FALSE)))</f>
        <v/>
      </c>
      <c r="BI127" s="191" t="str">
        <f>IF(Table2[[#This Row],[Counter Number]]="","",Table2[[#This Row],[Old Bus PM2.5 Emissions (tons/yr)]]-Table2[[#This Row],[New Bus PM2.5 Emissions (tons/yr)]])</f>
        <v/>
      </c>
      <c r="BJ127" s="192" t="str">
        <f>IF(Table2[[#This Row],[Counter Number]]="","",Table2[[#This Row],[Reduction Bus PM2.5 Emissions (tons/yr)]]/Table2[[#This Row],[Old Bus PM2.5 Emissions (tons/yr)]])</f>
        <v/>
      </c>
      <c r="BK127" s="193" t="str">
        <f>IF(Table2[[#This Row],[Counter Number]]="","",Table2[[#This Row],[Reduction Bus PM2.5 Emissions (tons/yr)]]*Table2[[#This Row],[Remaining Life:]])</f>
        <v/>
      </c>
      <c r="BL127" s="194" t="str">
        <f>IF(Table2[[#This Row],[Counter Number]]="","",IF(Table2[[#This Row],[Lifetime PM2.5 Reduction (tons)]]=0,"NA",Table2[[#This Row],[Upgrade Cost Per Unit]]/Table2[[#This Row],[Lifetime PM2.5 Reduction (tons)]]))</f>
        <v/>
      </c>
      <c r="BM127" s="179" t="str">
        <f>IF(Table2[[#This Row],[Counter Number]]="","",Table2[[#This Row],[Annual Miles Traveled:]]*VLOOKUP(Table2[[#This Row],[Engine Model Year:]],EF!$A$2:$G$40,5,FALSE))</f>
        <v/>
      </c>
      <c r="BN127" s="173" t="str">
        <f>IF(Table2[[#This Row],[Counter Number]]="","",Table2[[#This Row],[Annual Miles Traveled:]]*IF(Table2[[#This Row],[New Engine Fuel Type:]]="ULSD",VLOOKUP(Table2[[#This Row],[New Engine Model Year:]],EFTable[],5,FALSE),VLOOKUP(Table2[[#This Row],[New Engine Fuel Type:]],EFTable[],5,FALSE)))</f>
        <v/>
      </c>
      <c r="BO127" s="190" t="str">
        <f>IF(Table2[[#This Row],[Counter Number]]="","",Table2[[#This Row],[Old Bus HC Emissions (tons/yr)]]-Table2[[#This Row],[New Bus HC Emissions (tons/yr)]])</f>
        <v/>
      </c>
      <c r="BP127" s="188" t="str">
        <f>IF(Table2[[#This Row],[Counter Number]]="","",Table2[[#This Row],[Reduction Bus HC Emissions (tons/yr)]]/Table2[[#This Row],[Old Bus HC Emissions (tons/yr)]])</f>
        <v/>
      </c>
      <c r="BQ127" s="193" t="str">
        <f>IF(Table2[[#This Row],[Counter Number]]="","",Table2[[#This Row],[Reduction Bus HC Emissions (tons/yr)]]*Table2[[#This Row],[Remaining Life:]])</f>
        <v/>
      </c>
      <c r="BR127" s="194" t="str">
        <f>IF(Table2[[#This Row],[Counter Number]]="","",IF(Table2[[#This Row],[Lifetime HC Reduction (tons)]]=0,"NA",Table2[[#This Row],[Upgrade Cost Per Unit]]/Table2[[#This Row],[Lifetime HC Reduction (tons)]]))</f>
        <v/>
      </c>
      <c r="BS127" s="191" t="str">
        <f>IF(Table2[[#This Row],[Counter Number]]="","",Table2[[#This Row],[Annual Miles Traveled:]]*VLOOKUP(Table2[[#This Row],[Engine Model Year:]],EF!$A$2:$G$27,6,FALSE))</f>
        <v/>
      </c>
      <c r="BT127" s="173" t="str">
        <f>IF(Table2[[#This Row],[Counter Number]]="","",Table2[[#This Row],[Annual Miles Traveled:]]*IF(Table2[[#This Row],[New Engine Fuel Type:]]="ULSD",VLOOKUP(Table2[[#This Row],[New Engine Model Year:]],EFTable[],6,FALSE),VLOOKUP(Table2[[#This Row],[New Engine Fuel Type:]],EFTable[],6,FALSE)))</f>
        <v/>
      </c>
      <c r="BU127" s="190" t="str">
        <f>IF(Table2[[#This Row],[Counter Number]]="","",Table2[[#This Row],[Old Bus CO Emissions (tons/yr)]]-Table2[[#This Row],[New Bus CO Emissions (tons/yr)]])</f>
        <v/>
      </c>
      <c r="BV127" s="188" t="str">
        <f>IF(Table2[[#This Row],[Counter Number]]="","",Table2[[#This Row],[Reduction Bus CO Emissions (tons/yr)]]/Table2[[#This Row],[Old Bus CO Emissions (tons/yr)]])</f>
        <v/>
      </c>
      <c r="BW127" s="193" t="str">
        <f>IF(Table2[[#This Row],[Counter Number]]="","",Table2[[#This Row],[Reduction Bus CO Emissions (tons/yr)]]*Table2[[#This Row],[Remaining Life:]])</f>
        <v/>
      </c>
      <c r="BX127" s="194" t="str">
        <f>IF(Table2[[#This Row],[Counter Number]]="","",IF(Table2[[#This Row],[Lifetime CO Reduction (tons)]]=0,"NA",Table2[[#This Row],[Upgrade Cost Per Unit]]/Table2[[#This Row],[Lifetime CO Reduction (tons)]]))</f>
        <v/>
      </c>
      <c r="BY127" s="180" t="str">
        <f>IF(Table2[[#This Row],[Counter Number]]="","",Table2[[#This Row],[Old ULSD Used (gal):]]*VLOOKUP(Table2[[#This Row],[Engine Model Year:]],EF!$A$2:$G$27,7,FALSE))</f>
        <v/>
      </c>
      <c r="BZ12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7" s="195" t="str">
        <f>IF(Table2[[#This Row],[Counter Number]]="","",Table2[[#This Row],[Old Bus CO2 Emissions (tons/yr)]]-Table2[[#This Row],[New Bus CO2 Emissions (tons/yr)]])</f>
        <v/>
      </c>
      <c r="CB127" s="188" t="str">
        <f>IF(Table2[[#This Row],[Counter Number]]="","",Table2[[#This Row],[Reduction Bus CO2 Emissions (tons/yr)]]/Table2[[#This Row],[Old Bus CO2 Emissions (tons/yr)]])</f>
        <v/>
      </c>
      <c r="CC127" s="195" t="str">
        <f>IF(Table2[[#This Row],[Counter Number]]="","",Table2[[#This Row],[Reduction Bus CO2 Emissions (tons/yr)]]*Table2[[#This Row],[Remaining Life:]])</f>
        <v/>
      </c>
      <c r="CD127" s="194" t="str">
        <f>IF(Table2[[#This Row],[Counter Number]]="","",IF(Table2[[#This Row],[Lifetime CO2 Reduction (tons)]]=0,"NA",Table2[[#This Row],[Upgrade Cost Per Unit]]/Table2[[#This Row],[Lifetime CO2 Reduction (tons)]]))</f>
        <v/>
      </c>
      <c r="CE127" s="182" t="str">
        <f>IF(Table2[[#This Row],[Counter Number]]="","",IF(Table2[[#This Row],[New ULSD Used (gal):]]="",Table2[[#This Row],[Old ULSD Used (gal):]],Table2[[#This Row],[Old ULSD Used (gal):]]-Table2[[#This Row],[New ULSD Used (gal):]]))</f>
        <v/>
      </c>
      <c r="CF127" s="196" t="str">
        <f>IF(Table2[[#This Row],[Counter Number]]="","",Table2[[#This Row],[Diesel Fuel Reduction (gal/yr)]]/Table2[[#This Row],[Old ULSD Used (gal):]])</f>
        <v/>
      </c>
      <c r="CG127" s="197" t="str">
        <f>IF(Table2[[#This Row],[Counter Number]]="","",Table2[[#This Row],[Diesel Fuel Reduction (gal/yr)]]*Table2[[#This Row],[Remaining Life:]])</f>
        <v/>
      </c>
    </row>
    <row r="128" spans="1:85">
      <c r="A128" s="184" t="str">
        <f>IF(A127&lt;Application!$D$24,A127+1,"")</f>
        <v/>
      </c>
      <c r="B128" s="60" t="str">
        <f>IF(Table2[[#This Row],[Counter Number]]="","",Application!$D$16)</f>
        <v/>
      </c>
      <c r="C128" s="60" t="str">
        <f>IF(Table2[[#This Row],[Counter Number]]="","",Application!$D$14)</f>
        <v/>
      </c>
      <c r="D128" s="60" t="str">
        <f>IF(Table2[[#This Row],[Counter Number]]="","",Table1[[#This Row],[Old Bus Number]])</f>
        <v/>
      </c>
      <c r="E128" s="60" t="str">
        <f>IF(Table2[[#This Row],[Counter Number]]="","",Application!$D$15)</f>
        <v/>
      </c>
      <c r="F128" s="60" t="str">
        <f>IF(Table2[[#This Row],[Counter Number]]="","","On Highway")</f>
        <v/>
      </c>
      <c r="G128" s="60" t="str">
        <f>IF(Table2[[#This Row],[Counter Number]]="","",I128)</f>
        <v/>
      </c>
      <c r="H128" s="60" t="str">
        <f>IF(Table2[[#This Row],[Counter Number]]="","","Georgia")</f>
        <v/>
      </c>
      <c r="I128" s="60" t="str">
        <f>IF(Table2[[#This Row],[Counter Number]]="","",Application!$D$16)</f>
        <v/>
      </c>
      <c r="J128" s="60" t="str">
        <f>IF(Table2[[#This Row],[Counter Number]]="","",Application!$D$21)</f>
        <v/>
      </c>
      <c r="K128" s="60" t="str">
        <f>IF(Table2[[#This Row],[Counter Number]]="","",Application!$J$21)</f>
        <v/>
      </c>
      <c r="L128" s="60" t="str">
        <f>IF(Table2[[#This Row],[Counter Number]]="","","School Bus")</f>
        <v/>
      </c>
      <c r="M128" s="60" t="str">
        <f>IF(Table2[[#This Row],[Counter Number]]="","","School Bus")</f>
        <v/>
      </c>
      <c r="N128" s="60" t="str">
        <f>IF(Table2[[#This Row],[Counter Number]]="","",1)</f>
        <v/>
      </c>
      <c r="O128" s="60" t="str">
        <f>IF(Table2[[#This Row],[Counter Number]]="","",Table1[[#This Row],[Vehicle Identification Number(s):]])</f>
        <v/>
      </c>
      <c r="P128" s="60" t="str">
        <f>IF(Table2[[#This Row],[Counter Number]]="","",Table1[[#This Row],[Old Bus Manufacturer:]])</f>
        <v/>
      </c>
      <c r="Q128" s="60" t="str">
        <f>IF(Table2[[#This Row],[Counter Number]]="","",Table1[[#This Row],[Vehicle Model:]])</f>
        <v/>
      </c>
      <c r="R128" s="165" t="str">
        <f>IF(Table2[[#This Row],[Counter Number]]="","",Table1[[#This Row],[Vehicle Model Year:]])</f>
        <v/>
      </c>
      <c r="S128" s="60" t="str">
        <f>IF(Table2[[#This Row],[Counter Number]]="","",Table1[[#This Row],[Engine Serial Number(s):]])</f>
        <v/>
      </c>
      <c r="T128" s="60" t="str">
        <f>IF(Table2[[#This Row],[Counter Number]]="","",Table1[[#This Row],[Engine Make:]])</f>
        <v/>
      </c>
      <c r="U128" s="60" t="str">
        <f>IF(Table2[[#This Row],[Counter Number]]="","",Table1[[#This Row],[Engine Model:]])</f>
        <v/>
      </c>
      <c r="V128" s="165" t="str">
        <f>IF(Table2[[#This Row],[Counter Number]]="","",Table1[[#This Row],[Engine Model Year:]])</f>
        <v/>
      </c>
      <c r="W128" s="60" t="str">
        <f>IF(Table2[[#This Row],[Counter Number]]="","","NA")</f>
        <v/>
      </c>
      <c r="X128" s="165" t="str">
        <f>IF(Table2[[#This Row],[Counter Number]]="","",Table1[[#This Row],[Engine Horsepower (HP):]])</f>
        <v/>
      </c>
      <c r="Y128" s="165" t="str">
        <f>IF(Table2[[#This Row],[Counter Number]]="","",Table1[[#This Row],[Engine Cylinder Displacement (L):]]&amp;" L")</f>
        <v/>
      </c>
      <c r="Z128" s="165" t="str">
        <f>IF(Table2[[#This Row],[Counter Number]]="","",Table1[[#This Row],[Engine Number of Cylinders:]])</f>
        <v/>
      </c>
      <c r="AA128" s="166" t="str">
        <f>IF(Table2[[#This Row],[Counter Number]]="","",Table1[[#This Row],[Engine Family Name:]])</f>
        <v/>
      </c>
      <c r="AB128" s="60" t="str">
        <f>IF(Table2[[#This Row],[Counter Number]]="","","ULSD")</f>
        <v/>
      </c>
      <c r="AC128" s="167" t="str">
        <f>IF(Table2[[#This Row],[Counter Number]]="","",Table2[[#This Row],[Annual Miles Traveled:]]/Table1[[#This Row],[Old Fuel (mpg)]])</f>
        <v/>
      </c>
      <c r="AD128" s="60" t="str">
        <f>IF(Table2[[#This Row],[Counter Number]]="","","NA")</f>
        <v/>
      </c>
      <c r="AE128" s="168" t="str">
        <f>IF(Table2[[#This Row],[Counter Number]]="","",Table1[[#This Row],[Annual Miles Traveled]])</f>
        <v/>
      </c>
      <c r="AF128" s="169" t="str">
        <f>IF(Table2[[#This Row],[Counter Number]]="","",Table1[[#This Row],[Annual Idling Hours:]])</f>
        <v/>
      </c>
      <c r="AG128" s="60" t="str">
        <f>IF(Table2[[#This Row],[Counter Number]]="","","NA")</f>
        <v/>
      </c>
      <c r="AH128" s="165" t="str">
        <f>IF(Table2[[#This Row],[Counter Number]]="","",IF(Application!$J$25="Set Policy",Table1[[#This Row],[Remaining Life (years)         Set Policy]],Table1[[#This Row],[Remaining Life (years)               Case-by-Case]]))</f>
        <v/>
      </c>
      <c r="AI128" s="165" t="str">
        <f>IF(Table2[[#This Row],[Counter Number]]="","",IF(Application!$J$25="Case-by-Case","NA",Table2[[#This Row],[Fiscal Year of EPA Funds Used:]]+Table2[[#This Row],[Remaining Life:]]))</f>
        <v/>
      </c>
      <c r="AJ128" s="165"/>
      <c r="AK128" s="170" t="str">
        <f>IF(Table2[[#This Row],[Counter Number]]="","",Application!$D$14+1)</f>
        <v/>
      </c>
      <c r="AL128" s="60" t="str">
        <f>IF(Table2[[#This Row],[Counter Number]]="","","Vehicle Replacement")</f>
        <v/>
      </c>
      <c r="AM12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8" s="171" t="str">
        <f>IF(Table2[[#This Row],[Counter Number]]="","",Table1[[#This Row],[Cost of New Bus:]])</f>
        <v/>
      </c>
      <c r="AO128" s="60" t="str">
        <f>IF(Table2[[#This Row],[Counter Number]]="","","NA")</f>
        <v/>
      </c>
      <c r="AP128" s="165" t="str">
        <f>IF(Table2[[#This Row],[Counter Number]]="","",Table1[[#This Row],[New Engine Model Year:]])</f>
        <v/>
      </c>
      <c r="AQ128" s="60" t="str">
        <f>IF(Table2[[#This Row],[Counter Number]]="","","NA")</f>
        <v/>
      </c>
      <c r="AR128" s="165" t="str">
        <f>IF(Table2[[#This Row],[Counter Number]]="","",Table1[[#This Row],[New Engine Horsepower (HP):]])</f>
        <v/>
      </c>
      <c r="AS128" s="60" t="str">
        <f>IF(Table2[[#This Row],[Counter Number]]="","","NA")</f>
        <v/>
      </c>
      <c r="AT128" s="165" t="str">
        <f>IF(Table2[[#This Row],[Counter Number]]="","",Table1[[#This Row],[New Engine Cylinder Displacement (L):]]&amp;" L")</f>
        <v/>
      </c>
      <c r="AU128" s="114" t="str">
        <f>IF(Table2[[#This Row],[Counter Number]]="","",Table1[[#This Row],[New Engine Number of Cylinders:]])</f>
        <v/>
      </c>
      <c r="AV128" s="60" t="str">
        <f>IF(Table2[[#This Row],[Counter Number]]="","",Table1[[#This Row],[New Engine Family Name:]])</f>
        <v/>
      </c>
      <c r="AW12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8" s="60" t="str">
        <f>IF(Table2[[#This Row],[Counter Number]]="","","NA")</f>
        <v/>
      </c>
      <c r="AY128" s="172" t="str">
        <f>IF(Table2[[#This Row],[Counter Number]]="","",IF(Table2[[#This Row],[New Engine Fuel Type:]]="ULSD",Table1[[#This Row],[Annual Miles Traveled]]/Table1[[#This Row],[New Fuel (mpg) if Diesel]],""))</f>
        <v/>
      </c>
      <c r="AZ128" s="60"/>
      <c r="BA128" s="173" t="str">
        <f>IF(Table2[[#This Row],[Counter Number]]="","",Table2[[#This Row],[Annual Miles Traveled:]]*VLOOKUP(Table2[[#This Row],[Engine Model Year:]],EFTable[],3,FALSE))</f>
        <v/>
      </c>
      <c r="BB128" s="173" t="str">
        <f>IF(Table2[[#This Row],[Counter Number]]="","",Table2[[#This Row],[Annual Miles Traveled:]]*IF(Table2[[#This Row],[New Engine Fuel Type:]]="ULSD",VLOOKUP(Table2[[#This Row],[New Engine Model Year:]],EFTable[],3,FALSE),VLOOKUP(Table2[[#This Row],[New Engine Fuel Type:]],EFTable[],3,FALSE)))</f>
        <v/>
      </c>
      <c r="BC128" s="187" t="str">
        <f>IF(Table2[[#This Row],[Counter Number]]="","",Table2[[#This Row],[Old Bus NOx Emissions (tons/yr)]]-Table2[[#This Row],[New Bus NOx Emissions (tons/yr)]])</f>
        <v/>
      </c>
      <c r="BD128" s="188" t="str">
        <f>IF(Table2[[#This Row],[Counter Number]]="","",Table2[[#This Row],[Reduction Bus NOx Emissions (tons/yr)]]/Table2[[#This Row],[Old Bus NOx Emissions (tons/yr)]])</f>
        <v/>
      </c>
      <c r="BE128" s="175" t="str">
        <f>IF(Table2[[#This Row],[Counter Number]]="","",Table2[[#This Row],[Reduction Bus NOx Emissions (tons/yr)]]*Table2[[#This Row],[Remaining Life:]])</f>
        <v/>
      </c>
      <c r="BF128" s="189" t="str">
        <f>IF(Table2[[#This Row],[Counter Number]]="","",IF(Table2[[#This Row],[Lifetime NOx Reduction (tons)]]=0,"NA",Table2[[#This Row],[Upgrade Cost Per Unit]]/Table2[[#This Row],[Lifetime NOx Reduction (tons)]]))</f>
        <v/>
      </c>
      <c r="BG128" s="190" t="str">
        <f>IF(Table2[[#This Row],[Counter Number]]="","",Table2[[#This Row],[Annual Miles Traveled:]]*VLOOKUP(Table2[[#This Row],[Engine Model Year:]],EF!$A$2:$G$27,4,FALSE))</f>
        <v/>
      </c>
      <c r="BH128" s="173" t="str">
        <f>IF(Table2[[#This Row],[Counter Number]]="","",Table2[[#This Row],[Annual Miles Traveled:]]*IF(Table2[[#This Row],[New Engine Fuel Type:]]="ULSD",VLOOKUP(Table2[[#This Row],[New Engine Model Year:]],EFTable[],4,FALSE),VLOOKUP(Table2[[#This Row],[New Engine Fuel Type:]],EFTable[],4,FALSE)))</f>
        <v/>
      </c>
      <c r="BI128" s="191" t="str">
        <f>IF(Table2[[#This Row],[Counter Number]]="","",Table2[[#This Row],[Old Bus PM2.5 Emissions (tons/yr)]]-Table2[[#This Row],[New Bus PM2.5 Emissions (tons/yr)]])</f>
        <v/>
      </c>
      <c r="BJ128" s="192" t="str">
        <f>IF(Table2[[#This Row],[Counter Number]]="","",Table2[[#This Row],[Reduction Bus PM2.5 Emissions (tons/yr)]]/Table2[[#This Row],[Old Bus PM2.5 Emissions (tons/yr)]])</f>
        <v/>
      </c>
      <c r="BK128" s="193" t="str">
        <f>IF(Table2[[#This Row],[Counter Number]]="","",Table2[[#This Row],[Reduction Bus PM2.5 Emissions (tons/yr)]]*Table2[[#This Row],[Remaining Life:]])</f>
        <v/>
      </c>
      <c r="BL128" s="194" t="str">
        <f>IF(Table2[[#This Row],[Counter Number]]="","",IF(Table2[[#This Row],[Lifetime PM2.5 Reduction (tons)]]=0,"NA",Table2[[#This Row],[Upgrade Cost Per Unit]]/Table2[[#This Row],[Lifetime PM2.5 Reduction (tons)]]))</f>
        <v/>
      </c>
      <c r="BM128" s="179" t="str">
        <f>IF(Table2[[#This Row],[Counter Number]]="","",Table2[[#This Row],[Annual Miles Traveled:]]*VLOOKUP(Table2[[#This Row],[Engine Model Year:]],EF!$A$2:$G$40,5,FALSE))</f>
        <v/>
      </c>
      <c r="BN128" s="173" t="str">
        <f>IF(Table2[[#This Row],[Counter Number]]="","",Table2[[#This Row],[Annual Miles Traveled:]]*IF(Table2[[#This Row],[New Engine Fuel Type:]]="ULSD",VLOOKUP(Table2[[#This Row],[New Engine Model Year:]],EFTable[],5,FALSE),VLOOKUP(Table2[[#This Row],[New Engine Fuel Type:]],EFTable[],5,FALSE)))</f>
        <v/>
      </c>
      <c r="BO128" s="190" t="str">
        <f>IF(Table2[[#This Row],[Counter Number]]="","",Table2[[#This Row],[Old Bus HC Emissions (tons/yr)]]-Table2[[#This Row],[New Bus HC Emissions (tons/yr)]])</f>
        <v/>
      </c>
      <c r="BP128" s="188" t="str">
        <f>IF(Table2[[#This Row],[Counter Number]]="","",Table2[[#This Row],[Reduction Bus HC Emissions (tons/yr)]]/Table2[[#This Row],[Old Bus HC Emissions (tons/yr)]])</f>
        <v/>
      </c>
      <c r="BQ128" s="193" t="str">
        <f>IF(Table2[[#This Row],[Counter Number]]="","",Table2[[#This Row],[Reduction Bus HC Emissions (tons/yr)]]*Table2[[#This Row],[Remaining Life:]])</f>
        <v/>
      </c>
      <c r="BR128" s="194" t="str">
        <f>IF(Table2[[#This Row],[Counter Number]]="","",IF(Table2[[#This Row],[Lifetime HC Reduction (tons)]]=0,"NA",Table2[[#This Row],[Upgrade Cost Per Unit]]/Table2[[#This Row],[Lifetime HC Reduction (tons)]]))</f>
        <v/>
      </c>
      <c r="BS128" s="191" t="str">
        <f>IF(Table2[[#This Row],[Counter Number]]="","",Table2[[#This Row],[Annual Miles Traveled:]]*VLOOKUP(Table2[[#This Row],[Engine Model Year:]],EF!$A$2:$G$27,6,FALSE))</f>
        <v/>
      </c>
      <c r="BT128" s="173" t="str">
        <f>IF(Table2[[#This Row],[Counter Number]]="","",Table2[[#This Row],[Annual Miles Traveled:]]*IF(Table2[[#This Row],[New Engine Fuel Type:]]="ULSD",VLOOKUP(Table2[[#This Row],[New Engine Model Year:]],EFTable[],6,FALSE),VLOOKUP(Table2[[#This Row],[New Engine Fuel Type:]],EFTable[],6,FALSE)))</f>
        <v/>
      </c>
      <c r="BU128" s="190" t="str">
        <f>IF(Table2[[#This Row],[Counter Number]]="","",Table2[[#This Row],[Old Bus CO Emissions (tons/yr)]]-Table2[[#This Row],[New Bus CO Emissions (tons/yr)]])</f>
        <v/>
      </c>
      <c r="BV128" s="188" t="str">
        <f>IF(Table2[[#This Row],[Counter Number]]="","",Table2[[#This Row],[Reduction Bus CO Emissions (tons/yr)]]/Table2[[#This Row],[Old Bus CO Emissions (tons/yr)]])</f>
        <v/>
      </c>
      <c r="BW128" s="193" t="str">
        <f>IF(Table2[[#This Row],[Counter Number]]="","",Table2[[#This Row],[Reduction Bus CO Emissions (tons/yr)]]*Table2[[#This Row],[Remaining Life:]])</f>
        <v/>
      </c>
      <c r="BX128" s="194" t="str">
        <f>IF(Table2[[#This Row],[Counter Number]]="","",IF(Table2[[#This Row],[Lifetime CO Reduction (tons)]]=0,"NA",Table2[[#This Row],[Upgrade Cost Per Unit]]/Table2[[#This Row],[Lifetime CO Reduction (tons)]]))</f>
        <v/>
      </c>
      <c r="BY128" s="180" t="str">
        <f>IF(Table2[[#This Row],[Counter Number]]="","",Table2[[#This Row],[Old ULSD Used (gal):]]*VLOOKUP(Table2[[#This Row],[Engine Model Year:]],EF!$A$2:$G$27,7,FALSE))</f>
        <v/>
      </c>
      <c r="BZ12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8" s="195" t="str">
        <f>IF(Table2[[#This Row],[Counter Number]]="","",Table2[[#This Row],[Old Bus CO2 Emissions (tons/yr)]]-Table2[[#This Row],[New Bus CO2 Emissions (tons/yr)]])</f>
        <v/>
      </c>
      <c r="CB128" s="188" t="str">
        <f>IF(Table2[[#This Row],[Counter Number]]="","",Table2[[#This Row],[Reduction Bus CO2 Emissions (tons/yr)]]/Table2[[#This Row],[Old Bus CO2 Emissions (tons/yr)]])</f>
        <v/>
      </c>
      <c r="CC128" s="195" t="str">
        <f>IF(Table2[[#This Row],[Counter Number]]="","",Table2[[#This Row],[Reduction Bus CO2 Emissions (tons/yr)]]*Table2[[#This Row],[Remaining Life:]])</f>
        <v/>
      </c>
      <c r="CD128" s="194" t="str">
        <f>IF(Table2[[#This Row],[Counter Number]]="","",IF(Table2[[#This Row],[Lifetime CO2 Reduction (tons)]]=0,"NA",Table2[[#This Row],[Upgrade Cost Per Unit]]/Table2[[#This Row],[Lifetime CO2 Reduction (tons)]]))</f>
        <v/>
      </c>
      <c r="CE128" s="182" t="str">
        <f>IF(Table2[[#This Row],[Counter Number]]="","",IF(Table2[[#This Row],[New ULSD Used (gal):]]="",Table2[[#This Row],[Old ULSD Used (gal):]],Table2[[#This Row],[Old ULSD Used (gal):]]-Table2[[#This Row],[New ULSD Used (gal):]]))</f>
        <v/>
      </c>
      <c r="CF128" s="196" t="str">
        <f>IF(Table2[[#This Row],[Counter Number]]="","",Table2[[#This Row],[Diesel Fuel Reduction (gal/yr)]]/Table2[[#This Row],[Old ULSD Used (gal):]])</f>
        <v/>
      </c>
      <c r="CG128" s="197" t="str">
        <f>IF(Table2[[#This Row],[Counter Number]]="","",Table2[[#This Row],[Diesel Fuel Reduction (gal/yr)]]*Table2[[#This Row],[Remaining Life:]])</f>
        <v/>
      </c>
    </row>
    <row r="129" spans="1:85">
      <c r="A129" s="184" t="str">
        <f>IF(A128&lt;Application!$D$24,A128+1,"")</f>
        <v/>
      </c>
      <c r="B129" s="60" t="str">
        <f>IF(Table2[[#This Row],[Counter Number]]="","",Application!$D$16)</f>
        <v/>
      </c>
      <c r="C129" s="60" t="str">
        <f>IF(Table2[[#This Row],[Counter Number]]="","",Application!$D$14)</f>
        <v/>
      </c>
      <c r="D129" s="60" t="str">
        <f>IF(Table2[[#This Row],[Counter Number]]="","",Table1[[#This Row],[Old Bus Number]])</f>
        <v/>
      </c>
      <c r="E129" s="60" t="str">
        <f>IF(Table2[[#This Row],[Counter Number]]="","",Application!$D$15)</f>
        <v/>
      </c>
      <c r="F129" s="60" t="str">
        <f>IF(Table2[[#This Row],[Counter Number]]="","","On Highway")</f>
        <v/>
      </c>
      <c r="G129" s="60" t="str">
        <f>IF(Table2[[#This Row],[Counter Number]]="","",I129)</f>
        <v/>
      </c>
      <c r="H129" s="60" t="str">
        <f>IF(Table2[[#This Row],[Counter Number]]="","","Georgia")</f>
        <v/>
      </c>
      <c r="I129" s="60" t="str">
        <f>IF(Table2[[#This Row],[Counter Number]]="","",Application!$D$16)</f>
        <v/>
      </c>
      <c r="J129" s="60" t="str">
        <f>IF(Table2[[#This Row],[Counter Number]]="","",Application!$D$21)</f>
        <v/>
      </c>
      <c r="K129" s="60" t="str">
        <f>IF(Table2[[#This Row],[Counter Number]]="","",Application!$J$21)</f>
        <v/>
      </c>
      <c r="L129" s="60" t="str">
        <f>IF(Table2[[#This Row],[Counter Number]]="","","School Bus")</f>
        <v/>
      </c>
      <c r="M129" s="60" t="str">
        <f>IF(Table2[[#This Row],[Counter Number]]="","","School Bus")</f>
        <v/>
      </c>
      <c r="N129" s="60" t="str">
        <f>IF(Table2[[#This Row],[Counter Number]]="","",1)</f>
        <v/>
      </c>
      <c r="O129" s="60" t="str">
        <f>IF(Table2[[#This Row],[Counter Number]]="","",Table1[[#This Row],[Vehicle Identification Number(s):]])</f>
        <v/>
      </c>
      <c r="P129" s="60" t="str">
        <f>IF(Table2[[#This Row],[Counter Number]]="","",Table1[[#This Row],[Old Bus Manufacturer:]])</f>
        <v/>
      </c>
      <c r="Q129" s="60" t="str">
        <f>IF(Table2[[#This Row],[Counter Number]]="","",Table1[[#This Row],[Vehicle Model:]])</f>
        <v/>
      </c>
      <c r="R129" s="165" t="str">
        <f>IF(Table2[[#This Row],[Counter Number]]="","",Table1[[#This Row],[Vehicle Model Year:]])</f>
        <v/>
      </c>
      <c r="S129" s="60" t="str">
        <f>IF(Table2[[#This Row],[Counter Number]]="","",Table1[[#This Row],[Engine Serial Number(s):]])</f>
        <v/>
      </c>
      <c r="T129" s="60" t="str">
        <f>IF(Table2[[#This Row],[Counter Number]]="","",Table1[[#This Row],[Engine Make:]])</f>
        <v/>
      </c>
      <c r="U129" s="60" t="str">
        <f>IF(Table2[[#This Row],[Counter Number]]="","",Table1[[#This Row],[Engine Model:]])</f>
        <v/>
      </c>
      <c r="V129" s="165" t="str">
        <f>IF(Table2[[#This Row],[Counter Number]]="","",Table1[[#This Row],[Engine Model Year:]])</f>
        <v/>
      </c>
      <c r="W129" s="60" t="str">
        <f>IF(Table2[[#This Row],[Counter Number]]="","","NA")</f>
        <v/>
      </c>
      <c r="X129" s="165" t="str">
        <f>IF(Table2[[#This Row],[Counter Number]]="","",Table1[[#This Row],[Engine Horsepower (HP):]])</f>
        <v/>
      </c>
      <c r="Y129" s="165" t="str">
        <f>IF(Table2[[#This Row],[Counter Number]]="","",Table1[[#This Row],[Engine Cylinder Displacement (L):]]&amp;" L")</f>
        <v/>
      </c>
      <c r="Z129" s="165" t="str">
        <f>IF(Table2[[#This Row],[Counter Number]]="","",Table1[[#This Row],[Engine Number of Cylinders:]])</f>
        <v/>
      </c>
      <c r="AA129" s="166" t="str">
        <f>IF(Table2[[#This Row],[Counter Number]]="","",Table1[[#This Row],[Engine Family Name:]])</f>
        <v/>
      </c>
      <c r="AB129" s="60" t="str">
        <f>IF(Table2[[#This Row],[Counter Number]]="","","ULSD")</f>
        <v/>
      </c>
      <c r="AC129" s="167" t="str">
        <f>IF(Table2[[#This Row],[Counter Number]]="","",Table2[[#This Row],[Annual Miles Traveled:]]/Table1[[#This Row],[Old Fuel (mpg)]])</f>
        <v/>
      </c>
      <c r="AD129" s="60" t="str">
        <f>IF(Table2[[#This Row],[Counter Number]]="","","NA")</f>
        <v/>
      </c>
      <c r="AE129" s="168" t="str">
        <f>IF(Table2[[#This Row],[Counter Number]]="","",Table1[[#This Row],[Annual Miles Traveled]])</f>
        <v/>
      </c>
      <c r="AF129" s="169" t="str">
        <f>IF(Table2[[#This Row],[Counter Number]]="","",Table1[[#This Row],[Annual Idling Hours:]])</f>
        <v/>
      </c>
      <c r="AG129" s="60" t="str">
        <f>IF(Table2[[#This Row],[Counter Number]]="","","NA")</f>
        <v/>
      </c>
      <c r="AH129" s="165" t="str">
        <f>IF(Table2[[#This Row],[Counter Number]]="","",IF(Application!$J$25="Set Policy",Table1[[#This Row],[Remaining Life (years)         Set Policy]],Table1[[#This Row],[Remaining Life (years)               Case-by-Case]]))</f>
        <v/>
      </c>
      <c r="AI129" s="165" t="str">
        <f>IF(Table2[[#This Row],[Counter Number]]="","",IF(Application!$J$25="Case-by-Case","NA",Table2[[#This Row],[Fiscal Year of EPA Funds Used:]]+Table2[[#This Row],[Remaining Life:]]))</f>
        <v/>
      </c>
      <c r="AJ129" s="165"/>
      <c r="AK129" s="170" t="str">
        <f>IF(Table2[[#This Row],[Counter Number]]="","",Application!$D$14+1)</f>
        <v/>
      </c>
      <c r="AL129" s="60" t="str">
        <f>IF(Table2[[#This Row],[Counter Number]]="","","Vehicle Replacement")</f>
        <v/>
      </c>
      <c r="AM12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9" s="171" t="str">
        <f>IF(Table2[[#This Row],[Counter Number]]="","",Table1[[#This Row],[Cost of New Bus:]])</f>
        <v/>
      </c>
      <c r="AO129" s="60" t="str">
        <f>IF(Table2[[#This Row],[Counter Number]]="","","NA")</f>
        <v/>
      </c>
      <c r="AP129" s="165" t="str">
        <f>IF(Table2[[#This Row],[Counter Number]]="","",Table1[[#This Row],[New Engine Model Year:]])</f>
        <v/>
      </c>
      <c r="AQ129" s="60" t="str">
        <f>IF(Table2[[#This Row],[Counter Number]]="","","NA")</f>
        <v/>
      </c>
      <c r="AR129" s="165" t="str">
        <f>IF(Table2[[#This Row],[Counter Number]]="","",Table1[[#This Row],[New Engine Horsepower (HP):]])</f>
        <v/>
      </c>
      <c r="AS129" s="60" t="str">
        <f>IF(Table2[[#This Row],[Counter Number]]="","","NA")</f>
        <v/>
      </c>
      <c r="AT129" s="165" t="str">
        <f>IF(Table2[[#This Row],[Counter Number]]="","",Table1[[#This Row],[New Engine Cylinder Displacement (L):]]&amp;" L")</f>
        <v/>
      </c>
      <c r="AU129" s="114" t="str">
        <f>IF(Table2[[#This Row],[Counter Number]]="","",Table1[[#This Row],[New Engine Number of Cylinders:]])</f>
        <v/>
      </c>
      <c r="AV129" s="60" t="str">
        <f>IF(Table2[[#This Row],[Counter Number]]="","",Table1[[#This Row],[New Engine Family Name:]])</f>
        <v/>
      </c>
      <c r="AW12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9" s="60" t="str">
        <f>IF(Table2[[#This Row],[Counter Number]]="","","NA")</f>
        <v/>
      </c>
      <c r="AY129" s="172" t="str">
        <f>IF(Table2[[#This Row],[Counter Number]]="","",IF(Table2[[#This Row],[New Engine Fuel Type:]]="ULSD",Table1[[#This Row],[Annual Miles Traveled]]/Table1[[#This Row],[New Fuel (mpg) if Diesel]],""))</f>
        <v/>
      </c>
      <c r="AZ129" s="60"/>
      <c r="BA129" s="173" t="str">
        <f>IF(Table2[[#This Row],[Counter Number]]="","",Table2[[#This Row],[Annual Miles Traveled:]]*VLOOKUP(Table2[[#This Row],[Engine Model Year:]],EFTable[],3,FALSE))</f>
        <v/>
      </c>
      <c r="BB129" s="173" t="str">
        <f>IF(Table2[[#This Row],[Counter Number]]="","",Table2[[#This Row],[Annual Miles Traveled:]]*IF(Table2[[#This Row],[New Engine Fuel Type:]]="ULSD",VLOOKUP(Table2[[#This Row],[New Engine Model Year:]],EFTable[],3,FALSE),VLOOKUP(Table2[[#This Row],[New Engine Fuel Type:]],EFTable[],3,FALSE)))</f>
        <v/>
      </c>
      <c r="BC129" s="187" t="str">
        <f>IF(Table2[[#This Row],[Counter Number]]="","",Table2[[#This Row],[Old Bus NOx Emissions (tons/yr)]]-Table2[[#This Row],[New Bus NOx Emissions (tons/yr)]])</f>
        <v/>
      </c>
      <c r="BD129" s="188" t="str">
        <f>IF(Table2[[#This Row],[Counter Number]]="","",Table2[[#This Row],[Reduction Bus NOx Emissions (tons/yr)]]/Table2[[#This Row],[Old Bus NOx Emissions (tons/yr)]])</f>
        <v/>
      </c>
      <c r="BE129" s="175" t="str">
        <f>IF(Table2[[#This Row],[Counter Number]]="","",Table2[[#This Row],[Reduction Bus NOx Emissions (tons/yr)]]*Table2[[#This Row],[Remaining Life:]])</f>
        <v/>
      </c>
      <c r="BF129" s="189" t="str">
        <f>IF(Table2[[#This Row],[Counter Number]]="","",IF(Table2[[#This Row],[Lifetime NOx Reduction (tons)]]=0,"NA",Table2[[#This Row],[Upgrade Cost Per Unit]]/Table2[[#This Row],[Lifetime NOx Reduction (tons)]]))</f>
        <v/>
      </c>
      <c r="BG129" s="190" t="str">
        <f>IF(Table2[[#This Row],[Counter Number]]="","",Table2[[#This Row],[Annual Miles Traveled:]]*VLOOKUP(Table2[[#This Row],[Engine Model Year:]],EF!$A$2:$G$27,4,FALSE))</f>
        <v/>
      </c>
      <c r="BH129" s="173" t="str">
        <f>IF(Table2[[#This Row],[Counter Number]]="","",Table2[[#This Row],[Annual Miles Traveled:]]*IF(Table2[[#This Row],[New Engine Fuel Type:]]="ULSD",VLOOKUP(Table2[[#This Row],[New Engine Model Year:]],EFTable[],4,FALSE),VLOOKUP(Table2[[#This Row],[New Engine Fuel Type:]],EFTable[],4,FALSE)))</f>
        <v/>
      </c>
      <c r="BI129" s="191" t="str">
        <f>IF(Table2[[#This Row],[Counter Number]]="","",Table2[[#This Row],[Old Bus PM2.5 Emissions (tons/yr)]]-Table2[[#This Row],[New Bus PM2.5 Emissions (tons/yr)]])</f>
        <v/>
      </c>
      <c r="BJ129" s="192" t="str">
        <f>IF(Table2[[#This Row],[Counter Number]]="","",Table2[[#This Row],[Reduction Bus PM2.5 Emissions (tons/yr)]]/Table2[[#This Row],[Old Bus PM2.5 Emissions (tons/yr)]])</f>
        <v/>
      </c>
      <c r="BK129" s="193" t="str">
        <f>IF(Table2[[#This Row],[Counter Number]]="","",Table2[[#This Row],[Reduction Bus PM2.5 Emissions (tons/yr)]]*Table2[[#This Row],[Remaining Life:]])</f>
        <v/>
      </c>
      <c r="BL129" s="194" t="str">
        <f>IF(Table2[[#This Row],[Counter Number]]="","",IF(Table2[[#This Row],[Lifetime PM2.5 Reduction (tons)]]=0,"NA",Table2[[#This Row],[Upgrade Cost Per Unit]]/Table2[[#This Row],[Lifetime PM2.5 Reduction (tons)]]))</f>
        <v/>
      </c>
      <c r="BM129" s="179" t="str">
        <f>IF(Table2[[#This Row],[Counter Number]]="","",Table2[[#This Row],[Annual Miles Traveled:]]*VLOOKUP(Table2[[#This Row],[Engine Model Year:]],EF!$A$2:$G$40,5,FALSE))</f>
        <v/>
      </c>
      <c r="BN129" s="173" t="str">
        <f>IF(Table2[[#This Row],[Counter Number]]="","",Table2[[#This Row],[Annual Miles Traveled:]]*IF(Table2[[#This Row],[New Engine Fuel Type:]]="ULSD",VLOOKUP(Table2[[#This Row],[New Engine Model Year:]],EFTable[],5,FALSE),VLOOKUP(Table2[[#This Row],[New Engine Fuel Type:]],EFTable[],5,FALSE)))</f>
        <v/>
      </c>
      <c r="BO129" s="190" t="str">
        <f>IF(Table2[[#This Row],[Counter Number]]="","",Table2[[#This Row],[Old Bus HC Emissions (tons/yr)]]-Table2[[#This Row],[New Bus HC Emissions (tons/yr)]])</f>
        <v/>
      </c>
      <c r="BP129" s="188" t="str">
        <f>IF(Table2[[#This Row],[Counter Number]]="","",Table2[[#This Row],[Reduction Bus HC Emissions (tons/yr)]]/Table2[[#This Row],[Old Bus HC Emissions (tons/yr)]])</f>
        <v/>
      </c>
      <c r="BQ129" s="193" t="str">
        <f>IF(Table2[[#This Row],[Counter Number]]="","",Table2[[#This Row],[Reduction Bus HC Emissions (tons/yr)]]*Table2[[#This Row],[Remaining Life:]])</f>
        <v/>
      </c>
      <c r="BR129" s="194" t="str">
        <f>IF(Table2[[#This Row],[Counter Number]]="","",IF(Table2[[#This Row],[Lifetime HC Reduction (tons)]]=0,"NA",Table2[[#This Row],[Upgrade Cost Per Unit]]/Table2[[#This Row],[Lifetime HC Reduction (tons)]]))</f>
        <v/>
      </c>
      <c r="BS129" s="191" t="str">
        <f>IF(Table2[[#This Row],[Counter Number]]="","",Table2[[#This Row],[Annual Miles Traveled:]]*VLOOKUP(Table2[[#This Row],[Engine Model Year:]],EF!$A$2:$G$27,6,FALSE))</f>
        <v/>
      </c>
      <c r="BT129" s="173" t="str">
        <f>IF(Table2[[#This Row],[Counter Number]]="","",Table2[[#This Row],[Annual Miles Traveled:]]*IF(Table2[[#This Row],[New Engine Fuel Type:]]="ULSD",VLOOKUP(Table2[[#This Row],[New Engine Model Year:]],EFTable[],6,FALSE),VLOOKUP(Table2[[#This Row],[New Engine Fuel Type:]],EFTable[],6,FALSE)))</f>
        <v/>
      </c>
      <c r="BU129" s="190" t="str">
        <f>IF(Table2[[#This Row],[Counter Number]]="","",Table2[[#This Row],[Old Bus CO Emissions (tons/yr)]]-Table2[[#This Row],[New Bus CO Emissions (tons/yr)]])</f>
        <v/>
      </c>
      <c r="BV129" s="188" t="str">
        <f>IF(Table2[[#This Row],[Counter Number]]="","",Table2[[#This Row],[Reduction Bus CO Emissions (tons/yr)]]/Table2[[#This Row],[Old Bus CO Emissions (tons/yr)]])</f>
        <v/>
      </c>
      <c r="BW129" s="193" t="str">
        <f>IF(Table2[[#This Row],[Counter Number]]="","",Table2[[#This Row],[Reduction Bus CO Emissions (tons/yr)]]*Table2[[#This Row],[Remaining Life:]])</f>
        <v/>
      </c>
      <c r="BX129" s="194" t="str">
        <f>IF(Table2[[#This Row],[Counter Number]]="","",IF(Table2[[#This Row],[Lifetime CO Reduction (tons)]]=0,"NA",Table2[[#This Row],[Upgrade Cost Per Unit]]/Table2[[#This Row],[Lifetime CO Reduction (tons)]]))</f>
        <v/>
      </c>
      <c r="BY129" s="180" t="str">
        <f>IF(Table2[[#This Row],[Counter Number]]="","",Table2[[#This Row],[Old ULSD Used (gal):]]*VLOOKUP(Table2[[#This Row],[Engine Model Year:]],EF!$A$2:$G$27,7,FALSE))</f>
        <v/>
      </c>
      <c r="BZ12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9" s="195" t="str">
        <f>IF(Table2[[#This Row],[Counter Number]]="","",Table2[[#This Row],[Old Bus CO2 Emissions (tons/yr)]]-Table2[[#This Row],[New Bus CO2 Emissions (tons/yr)]])</f>
        <v/>
      </c>
      <c r="CB129" s="188" t="str">
        <f>IF(Table2[[#This Row],[Counter Number]]="","",Table2[[#This Row],[Reduction Bus CO2 Emissions (tons/yr)]]/Table2[[#This Row],[Old Bus CO2 Emissions (tons/yr)]])</f>
        <v/>
      </c>
      <c r="CC129" s="195" t="str">
        <f>IF(Table2[[#This Row],[Counter Number]]="","",Table2[[#This Row],[Reduction Bus CO2 Emissions (tons/yr)]]*Table2[[#This Row],[Remaining Life:]])</f>
        <v/>
      </c>
      <c r="CD129" s="194" t="str">
        <f>IF(Table2[[#This Row],[Counter Number]]="","",IF(Table2[[#This Row],[Lifetime CO2 Reduction (tons)]]=0,"NA",Table2[[#This Row],[Upgrade Cost Per Unit]]/Table2[[#This Row],[Lifetime CO2 Reduction (tons)]]))</f>
        <v/>
      </c>
      <c r="CE129" s="182" t="str">
        <f>IF(Table2[[#This Row],[Counter Number]]="","",IF(Table2[[#This Row],[New ULSD Used (gal):]]="",Table2[[#This Row],[Old ULSD Used (gal):]],Table2[[#This Row],[Old ULSD Used (gal):]]-Table2[[#This Row],[New ULSD Used (gal):]]))</f>
        <v/>
      </c>
      <c r="CF129" s="196" t="str">
        <f>IF(Table2[[#This Row],[Counter Number]]="","",Table2[[#This Row],[Diesel Fuel Reduction (gal/yr)]]/Table2[[#This Row],[Old ULSD Used (gal):]])</f>
        <v/>
      </c>
      <c r="CG129" s="197" t="str">
        <f>IF(Table2[[#This Row],[Counter Number]]="","",Table2[[#This Row],[Diesel Fuel Reduction (gal/yr)]]*Table2[[#This Row],[Remaining Life:]])</f>
        <v/>
      </c>
    </row>
    <row r="130" spans="1:85">
      <c r="A130" s="184" t="str">
        <f>IF(A129&lt;Application!$D$24,A129+1,"")</f>
        <v/>
      </c>
      <c r="B130" s="60" t="str">
        <f>IF(Table2[[#This Row],[Counter Number]]="","",Application!$D$16)</f>
        <v/>
      </c>
      <c r="C130" s="60" t="str">
        <f>IF(Table2[[#This Row],[Counter Number]]="","",Application!$D$14)</f>
        <v/>
      </c>
      <c r="D130" s="60" t="str">
        <f>IF(Table2[[#This Row],[Counter Number]]="","",Table1[[#This Row],[Old Bus Number]])</f>
        <v/>
      </c>
      <c r="E130" s="60" t="str">
        <f>IF(Table2[[#This Row],[Counter Number]]="","",Application!$D$15)</f>
        <v/>
      </c>
      <c r="F130" s="60" t="str">
        <f>IF(Table2[[#This Row],[Counter Number]]="","","On Highway")</f>
        <v/>
      </c>
      <c r="G130" s="60" t="str">
        <f>IF(Table2[[#This Row],[Counter Number]]="","",I130)</f>
        <v/>
      </c>
      <c r="H130" s="60" t="str">
        <f>IF(Table2[[#This Row],[Counter Number]]="","","Georgia")</f>
        <v/>
      </c>
      <c r="I130" s="60" t="str">
        <f>IF(Table2[[#This Row],[Counter Number]]="","",Application!$D$16)</f>
        <v/>
      </c>
      <c r="J130" s="60" t="str">
        <f>IF(Table2[[#This Row],[Counter Number]]="","",Application!$D$21)</f>
        <v/>
      </c>
      <c r="K130" s="60" t="str">
        <f>IF(Table2[[#This Row],[Counter Number]]="","",Application!$J$21)</f>
        <v/>
      </c>
      <c r="L130" s="60" t="str">
        <f>IF(Table2[[#This Row],[Counter Number]]="","","School Bus")</f>
        <v/>
      </c>
      <c r="M130" s="60" t="str">
        <f>IF(Table2[[#This Row],[Counter Number]]="","","School Bus")</f>
        <v/>
      </c>
      <c r="N130" s="60" t="str">
        <f>IF(Table2[[#This Row],[Counter Number]]="","",1)</f>
        <v/>
      </c>
      <c r="O130" s="60" t="str">
        <f>IF(Table2[[#This Row],[Counter Number]]="","",Table1[[#This Row],[Vehicle Identification Number(s):]])</f>
        <v/>
      </c>
      <c r="P130" s="60" t="str">
        <f>IF(Table2[[#This Row],[Counter Number]]="","",Table1[[#This Row],[Old Bus Manufacturer:]])</f>
        <v/>
      </c>
      <c r="Q130" s="60" t="str">
        <f>IF(Table2[[#This Row],[Counter Number]]="","",Table1[[#This Row],[Vehicle Model:]])</f>
        <v/>
      </c>
      <c r="R130" s="165" t="str">
        <f>IF(Table2[[#This Row],[Counter Number]]="","",Table1[[#This Row],[Vehicle Model Year:]])</f>
        <v/>
      </c>
      <c r="S130" s="60" t="str">
        <f>IF(Table2[[#This Row],[Counter Number]]="","",Table1[[#This Row],[Engine Serial Number(s):]])</f>
        <v/>
      </c>
      <c r="T130" s="60" t="str">
        <f>IF(Table2[[#This Row],[Counter Number]]="","",Table1[[#This Row],[Engine Make:]])</f>
        <v/>
      </c>
      <c r="U130" s="60" t="str">
        <f>IF(Table2[[#This Row],[Counter Number]]="","",Table1[[#This Row],[Engine Model:]])</f>
        <v/>
      </c>
      <c r="V130" s="165" t="str">
        <f>IF(Table2[[#This Row],[Counter Number]]="","",Table1[[#This Row],[Engine Model Year:]])</f>
        <v/>
      </c>
      <c r="W130" s="60" t="str">
        <f>IF(Table2[[#This Row],[Counter Number]]="","","NA")</f>
        <v/>
      </c>
      <c r="X130" s="165" t="str">
        <f>IF(Table2[[#This Row],[Counter Number]]="","",Table1[[#This Row],[Engine Horsepower (HP):]])</f>
        <v/>
      </c>
      <c r="Y130" s="165" t="str">
        <f>IF(Table2[[#This Row],[Counter Number]]="","",Table1[[#This Row],[Engine Cylinder Displacement (L):]]&amp;" L")</f>
        <v/>
      </c>
      <c r="Z130" s="165" t="str">
        <f>IF(Table2[[#This Row],[Counter Number]]="","",Table1[[#This Row],[Engine Number of Cylinders:]])</f>
        <v/>
      </c>
      <c r="AA130" s="166" t="str">
        <f>IF(Table2[[#This Row],[Counter Number]]="","",Table1[[#This Row],[Engine Family Name:]])</f>
        <v/>
      </c>
      <c r="AB130" s="60" t="str">
        <f>IF(Table2[[#This Row],[Counter Number]]="","","ULSD")</f>
        <v/>
      </c>
      <c r="AC130" s="167" t="str">
        <f>IF(Table2[[#This Row],[Counter Number]]="","",Table2[[#This Row],[Annual Miles Traveled:]]/Table1[[#This Row],[Old Fuel (mpg)]])</f>
        <v/>
      </c>
      <c r="AD130" s="60" t="str">
        <f>IF(Table2[[#This Row],[Counter Number]]="","","NA")</f>
        <v/>
      </c>
      <c r="AE130" s="168" t="str">
        <f>IF(Table2[[#This Row],[Counter Number]]="","",Table1[[#This Row],[Annual Miles Traveled]])</f>
        <v/>
      </c>
      <c r="AF130" s="169" t="str">
        <f>IF(Table2[[#This Row],[Counter Number]]="","",Table1[[#This Row],[Annual Idling Hours:]])</f>
        <v/>
      </c>
      <c r="AG130" s="60" t="str">
        <f>IF(Table2[[#This Row],[Counter Number]]="","","NA")</f>
        <v/>
      </c>
      <c r="AH130" s="165" t="str">
        <f>IF(Table2[[#This Row],[Counter Number]]="","",IF(Application!$J$25="Set Policy",Table1[[#This Row],[Remaining Life (years)         Set Policy]],Table1[[#This Row],[Remaining Life (years)               Case-by-Case]]))</f>
        <v/>
      </c>
      <c r="AI130" s="165" t="str">
        <f>IF(Table2[[#This Row],[Counter Number]]="","",IF(Application!$J$25="Case-by-Case","NA",Table2[[#This Row],[Fiscal Year of EPA Funds Used:]]+Table2[[#This Row],[Remaining Life:]]))</f>
        <v/>
      </c>
      <c r="AJ130" s="165"/>
      <c r="AK130" s="170" t="str">
        <f>IF(Table2[[#This Row],[Counter Number]]="","",Application!$D$14+1)</f>
        <v/>
      </c>
      <c r="AL130" s="60" t="str">
        <f>IF(Table2[[#This Row],[Counter Number]]="","","Vehicle Replacement")</f>
        <v/>
      </c>
      <c r="AM13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0" s="171" t="str">
        <f>IF(Table2[[#This Row],[Counter Number]]="","",Table1[[#This Row],[Cost of New Bus:]])</f>
        <v/>
      </c>
      <c r="AO130" s="60" t="str">
        <f>IF(Table2[[#This Row],[Counter Number]]="","","NA")</f>
        <v/>
      </c>
      <c r="AP130" s="165" t="str">
        <f>IF(Table2[[#This Row],[Counter Number]]="","",Table1[[#This Row],[New Engine Model Year:]])</f>
        <v/>
      </c>
      <c r="AQ130" s="60" t="str">
        <f>IF(Table2[[#This Row],[Counter Number]]="","","NA")</f>
        <v/>
      </c>
      <c r="AR130" s="165" t="str">
        <f>IF(Table2[[#This Row],[Counter Number]]="","",Table1[[#This Row],[New Engine Horsepower (HP):]])</f>
        <v/>
      </c>
      <c r="AS130" s="60" t="str">
        <f>IF(Table2[[#This Row],[Counter Number]]="","","NA")</f>
        <v/>
      </c>
      <c r="AT130" s="165" t="str">
        <f>IF(Table2[[#This Row],[Counter Number]]="","",Table1[[#This Row],[New Engine Cylinder Displacement (L):]]&amp;" L")</f>
        <v/>
      </c>
      <c r="AU130" s="114" t="str">
        <f>IF(Table2[[#This Row],[Counter Number]]="","",Table1[[#This Row],[New Engine Number of Cylinders:]])</f>
        <v/>
      </c>
      <c r="AV130" s="60" t="str">
        <f>IF(Table2[[#This Row],[Counter Number]]="","",Table1[[#This Row],[New Engine Family Name:]])</f>
        <v/>
      </c>
      <c r="AW13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0" s="60" t="str">
        <f>IF(Table2[[#This Row],[Counter Number]]="","","NA")</f>
        <v/>
      </c>
      <c r="AY130" s="172" t="str">
        <f>IF(Table2[[#This Row],[Counter Number]]="","",IF(Table2[[#This Row],[New Engine Fuel Type:]]="ULSD",Table1[[#This Row],[Annual Miles Traveled]]/Table1[[#This Row],[New Fuel (mpg) if Diesel]],""))</f>
        <v/>
      </c>
      <c r="AZ130" s="60"/>
      <c r="BA130" s="173" t="str">
        <f>IF(Table2[[#This Row],[Counter Number]]="","",Table2[[#This Row],[Annual Miles Traveled:]]*VLOOKUP(Table2[[#This Row],[Engine Model Year:]],EFTable[],3,FALSE))</f>
        <v/>
      </c>
      <c r="BB130" s="173" t="str">
        <f>IF(Table2[[#This Row],[Counter Number]]="","",Table2[[#This Row],[Annual Miles Traveled:]]*IF(Table2[[#This Row],[New Engine Fuel Type:]]="ULSD",VLOOKUP(Table2[[#This Row],[New Engine Model Year:]],EFTable[],3,FALSE),VLOOKUP(Table2[[#This Row],[New Engine Fuel Type:]],EFTable[],3,FALSE)))</f>
        <v/>
      </c>
      <c r="BC130" s="187" t="str">
        <f>IF(Table2[[#This Row],[Counter Number]]="","",Table2[[#This Row],[Old Bus NOx Emissions (tons/yr)]]-Table2[[#This Row],[New Bus NOx Emissions (tons/yr)]])</f>
        <v/>
      </c>
      <c r="BD130" s="188" t="str">
        <f>IF(Table2[[#This Row],[Counter Number]]="","",Table2[[#This Row],[Reduction Bus NOx Emissions (tons/yr)]]/Table2[[#This Row],[Old Bus NOx Emissions (tons/yr)]])</f>
        <v/>
      </c>
      <c r="BE130" s="175" t="str">
        <f>IF(Table2[[#This Row],[Counter Number]]="","",Table2[[#This Row],[Reduction Bus NOx Emissions (tons/yr)]]*Table2[[#This Row],[Remaining Life:]])</f>
        <v/>
      </c>
      <c r="BF130" s="189" t="str">
        <f>IF(Table2[[#This Row],[Counter Number]]="","",IF(Table2[[#This Row],[Lifetime NOx Reduction (tons)]]=0,"NA",Table2[[#This Row],[Upgrade Cost Per Unit]]/Table2[[#This Row],[Lifetime NOx Reduction (tons)]]))</f>
        <v/>
      </c>
      <c r="BG130" s="190" t="str">
        <f>IF(Table2[[#This Row],[Counter Number]]="","",Table2[[#This Row],[Annual Miles Traveled:]]*VLOOKUP(Table2[[#This Row],[Engine Model Year:]],EF!$A$2:$G$27,4,FALSE))</f>
        <v/>
      </c>
      <c r="BH130" s="173" t="str">
        <f>IF(Table2[[#This Row],[Counter Number]]="","",Table2[[#This Row],[Annual Miles Traveled:]]*IF(Table2[[#This Row],[New Engine Fuel Type:]]="ULSD",VLOOKUP(Table2[[#This Row],[New Engine Model Year:]],EFTable[],4,FALSE),VLOOKUP(Table2[[#This Row],[New Engine Fuel Type:]],EFTable[],4,FALSE)))</f>
        <v/>
      </c>
      <c r="BI130" s="191" t="str">
        <f>IF(Table2[[#This Row],[Counter Number]]="","",Table2[[#This Row],[Old Bus PM2.5 Emissions (tons/yr)]]-Table2[[#This Row],[New Bus PM2.5 Emissions (tons/yr)]])</f>
        <v/>
      </c>
      <c r="BJ130" s="192" t="str">
        <f>IF(Table2[[#This Row],[Counter Number]]="","",Table2[[#This Row],[Reduction Bus PM2.5 Emissions (tons/yr)]]/Table2[[#This Row],[Old Bus PM2.5 Emissions (tons/yr)]])</f>
        <v/>
      </c>
      <c r="BK130" s="193" t="str">
        <f>IF(Table2[[#This Row],[Counter Number]]="","",Table2[[#This Row],[Reduction Bus PM2.5 Emissions (tons/yr)]]*Table2[[#This Row],[Remaining Life:]])</f>
        <v/>
      </c>
      <c r="BL130" s="194" t="str">
        <f>IF(Table2[[#This Row],[Counter Number]]="","",IF(Table2[[#This Row],[Lifetime PM2.5 Reduction (tons)]]=0,"NA",Table2[[#This Row],[Upgrade Cost Per Unit]]/Table2[[#This Row],[Lifetime PM2.5 Reduction (tons)]]))</f>
        <v/>
      </c>
      <c r="BM130" s="179" t="str">
        <f>IF(Table2[[#This Row],[Counter Number]]="","",Table2[[#This Row],[Annual Miles Traveled:]]*VLOOKUP(Table2[[#This Row],[Engine Model Year:]],EF!$A$2:$G$40,5,FALSE))</f>
        <v/>
      </c>
      <c r="BN130" s="173" t="str">
        <f>IF(Table2[[#This Row],[Counter Number]]="","",Table2[[#This Row],[Annual Miles Traveled:]]*IF(Table2[[#This Row],[New Engine Fuel Type:]]="ULSD",VLOOKUP(Table2[[#This Row],[New Engine Model Year:]],EFTable[],5,FALSE),VLOOKUP(Table2[[#This Row],[New Engine Fuel Type:]],EFTable[],5,FALSE)))</f>
        <v/>
      </c>
      <c r="BO130" s="190" t="str">
        <f>IF(Table2[[#This Row],[Counter Number]]="","",Table2[[#This Row],[Old Bus HC Emissions (tons/yr)]]-Table2[[#This Row],[New Bus HC Emissions (tons/yr)]])</f>
        <v/>
      </c>
      <c r="BP130" s="188" t="str">
        <f>IF(Table2[[#This Row],[Counter Number]]="","",Table2[[#This Row],[Reduction Bus HC Emissions (tons/yr)]]/Table2[[#This Row],[Old Bus HC Emissions (tons/yr)]])</f>
        <v/>
      </c>
      <c r="BQ130" s="193" t="str">
        <f>IF(Table2[[#This Row],[Counter Number]]="","",Table2[[#This Row],[Reduction Bus HC Emissions (tons/yr)]]*Table2[[#This Row],[Remaining Life:]])</f>
        <v/>
      </c>
      <c r="BR130" s="194" t="str">
        <f>IF(Table2[[#This Row],[Counter Number]]="","",IF(Table2[[#This Row],[Lifetime HC Reduction (tons)]]=0,"NA",Table2[[#This Row],[Upgrade Cost Per Unit]]/Table2[[#This Row],[Lifetime HC Reduction (tons)]]))</f>
        <v/>
      </c>
      <c r="BS130" s="191" t="str">
        <f>IF(Table2[[#This Row],[Counter Number]]="","",Table2[[#This Row],[Annual Miles Traveled:]]*VLOOKUP(Table2[[#This Row],[Engine Model Year:]],EF!$A$2:$G$27,6,FALSE))</f>
        <v/>
      </c>
      <c r="BT130" s="173" t="str">
        <f>IF(Table2[[#This Row],[Counter Number]]="","",Table2[[#This Row],[Annual Miles Traveled:]]*IF(Table2[[#This Row],[New Engine Fuel Type:]]="ULSD",VLOOKUP(Table2[[#This Row],[New Engine Model Year:]],EFTable[],6,FALSE),VLOOKUP(Table2[[#This Row],[New Engine Fuel Type:]],EFTable[],6,FALSE)))</f>
        <v/>
      </c>
      <c r="BU130" s="190" t="str">
        <f>IF(Table2[[#This Row],[Counter Number]]="","",Table2[[#This Row],[Old Bus CO Emissions (tons/yr)]]-Table2[[#This Row],[New Bus CO Emissions (tons/yr)]])</f>
        <v/>
      </c>
      <c r="BV130" s="188" t="str">
        <f>IF(Table2[[#This Row],[Counter Number]]="","",Table2[[#This Row],[Reduction Bus CO Emissions (tons/yr)]]/Table2[[#This Row],[Old Bus CO Emissions (tons/yr)]])</f>
        <v/>
      </c>
      <c r="BW130" s="193" t="str">
        <f>IF(Table2[[#This Row],[Counter Number]]="","",Table2[[#This Row],[Reduction Bus CO Emissions (tons/yr)]]*Table2[[#This Row],[Remaining Life:]])</f>
        <v/>
      </c>
      <c r="BX130" s="194" t="str">
        <f>IF(Table2[[#This Row],[Counter Number]]="","",IF(Table2[[#This Row],[Lifetime CO Reduction (tons)]]=0,"NA",Table2[[#This Row],[Upgrade Cost Per Unit]]/Table2[[#This Row],[Lifetime CO Reduction (tons)]]))</f>
        <v/>
      </c>
      <c r="BY130" s="180" t="str">
        <f>IF(Table2[[#This Row],[Counter Number]]="","",Table2[[#This Row],[Old ULSD Used (gal):]]*VLOOKUP(Table2[[#This Row],[Engine Model Year:]],EF!$A$2:$G$27,7,FALSE))</f>
        <v/>
      </c>
      <c r="BZ13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0" s="195" t="str">
        <f>IF(Table2[[#This Row],[Counter Number]]="","",Table2[[#This Row],[Old Bus CO2 Emissions (tons/yr)]]-Table2[[#This Row],[New Bus CO2 Emissions (tons/yr)]])</f>
        <v/>
      </c>
      <c r="CB130" s="188" t="str">
        <f>IF(Table2[[#This Row],[Counter Number]]="","",Table2[[#This Row],[Reduction Bus CO2 Emissions (tons/yr)]]/Table2[[#This Row],[Old Bus CO2 Emissions (tons/yr)]])</f>
        <v/>
      </c>
      <c r="CC130" s="195" t="str">
        <f>IF(Table2[[#This Row],[Counter Number]]="","",Table2[[#This Row],[Reduction Bus CO2 Emissions (tons/yr)]]*Table2[[#This Row],[Remaining Life:]])</f>
        <v/>
      </c>
      <c r="CD130" s="194" t="str">
        <f>IF(Table2[[#This Row],[Counter Number]]="","",IF(Table2[[#This Row],[Lifetime CO2 Reduction (tons)]]=0,"NA",Table2[[#This Row],[Upgrade Cost Per Unit]]/Table2[[#This Row],[Lifetime CO2 Reduction (tons)]]))</f>
        <v/>
      </c>
      <c r="CE130" s="182" t="str">
        <f>IF(Table2[[#This Row],[Counter Number]]="","",IF(Table2[[#This Row],[New ULSD Used (gal):]]="",Table2[[#This Row],[Old ULSD Used (gal):]],Table2[[#This Row],[Old ULSD Used (gal):]]-Table2[[#This Row],[New ULSD Used (gal):]]))</f>
        <v/>
      </c>
      <c r="CF130" s="196" t="str">
        <f>IF(Table2[[#This Row],[Counter Number]]="","",Table2[[#This Row],[Diesel Fuel Reduction (gal/yr)]]/Table2[[#This Row],[Old ULSD Used (gal):]])</f>
        <v/>
      </c>
      <c r="CG130" s="197" t="str">
        <f>IF(Table2[[#This Row],[Counter Number]]="","",Table2[[#This Row],[Diesel Fuel Reduction (gal/yr)]]*Table2[[#This Row],[Remaining Life:]])</f>
        <v/>
      </c>
    </row>
    <row r="131" spans="1:85">
      <c r="A131" s="184" t="str">
        <f>IF(A130&lt;Application!$D$24,A130+1,"")</f>
        <v/>
      </c>
      <c r="B131" s="60" t="str">
        <f>IF(Table2[[#This Row],[Counter Number]]="","",Application!$D$16)</f>
        <v/>
      </c>
      <c r="C131" s="60" t="str">
        <f>IF(Table2[[#This Row],[Counter Number]]="","",Application!$D$14)</f>
        <v/>
      </c>
      <c r="D131" s="60" t="str">
        <f>IF(Table2[[#This Row],[Counter Number]]="","",Table1[[#This Row],[Old Bus Number]])</f>
        <v/>
      </c>
      <c r="E131" s="60" t="str">
        <f>IF(Table2[[#This Row],[Counter Number]]="","",Application!$D$15)</f>
        <v/>
      </c>
      <c r="F131" s="60" t="str">
        <f>IF(Table2[[#This Row],[Counter Number]]="","","On Highway")</f>
        <v/>
      </c>
      <c r="G131" s="60" t="str">
        <f>IF(Table2[[#This Row],[Counter Number]]="","",I131)</f>
        <v/>
      </c>
      <c r="H131" s="60" t="str">
        <f>IF(Table2[[#This Row],[Counter Number]]="","","Georgia")</f>
        <v/>
      </c>
      <c r="I131" s="60" t="str">
        <f>IF(Table2[[#This Row],[Counter Number]]="","",Application!$D$16)</f>
        <v/>
      </c>
      <c r="J131" s="60" t="str">
        <f>IF(Table2[[#This Row],[Counter Number]]="","",Application!$D$21)</f>
        <v/>
      </c>
      <c r="K131" s="60" t="str">
        <f>IF(Table2[[#This Row],[Counter Number]]="","",Application!$J$21)</f>
        <v/>
      </c>
      <c r="L131" s="60" t="str">
        <f>IF(Table2[[#This Row],[Counter Number]]="","","School Bus")</f>
        <v/>
      </c>
      <c r="M131" s="60" t="str">
        <f>IF(Table2[[#This Row],[Counter Number]]="","","School Bus")</f>
        <v/>
      </c>
      <c r="N131" s="60" t="str">
        <f>IF(Table2[[#This Row],[Counter Number]]="","",1)</f>
        <v/>
      </c>
      <c r="O131" s="60" t="str">
        <f>IF(Table2[[#This Row],[Counter Number]]="","",Table1[[#This Row],[Vehicle Identification Number(s):]])</f>
        <v/>
      </c>
      <c r="P131" s="60" t="str">
        <f>IF(Table2[[#This Row],[Counter Number]]="","",Table1[[#This Row],[Old Bus Manufacturer:]])</f>
        <v/>
      </c>
      <c r="Q131" s="60" t="str">
        <f>IF(Table2[[#This Row],[Counter Number]]="","",Table1[[#This Row],[Vehicle Model:]])</f>
        <v/>
      </c>
      <c r="R131" s="165" t="str">
        <f>IF(Table2[[#This Row],[Counter Number]]="","",Table1[[#This Row],[Vehicle Model Year:]])</f>
        <v/>
      </c>
      <c r="S131" s="60" t="str">
        <f>IF(Table2[[#This Row],[Counter Number]]="","",Table1[[#This Row],[Engine Serial Number(s):]])</f>
        <v/>
      </c>
      <c r="T131" s="60" t="str">
        <f>IF(Table2[[#This Row],[Counter Number]]="","",Table1[[#This Row],[Engine Make:]])</f>
        <v/>
      </c>
      <c r="U131" s="60" t="str">
        <f>IF(Table2[[#This Row],[Counter Number]]="","",Table1[[#This Row],[Engine Model:]])</f>
        <v/>
      </c>
      <c r="V131" s="165" t="str">
        <f>IF(Table2[[#This Row],[Counter Number]]="","",Table1[[#This Row],[Engine Model Year:]])</f>
        <v/>
      </c>
      <c r="W131" s="60" t="str">
        <f>IF(Table2[[#This Row],[Counter Number]]="","","NA")</f>
        <v/>
      </c>
      <c r="X131" s="165" t="str">
        <f>IF(Table2[[#This Row],[Counter Number]]="","",Table1[[#This Row],[Engine Horsepower (HP):]])</f>
        <v/>
      </c>
      <c r="Y131" s="165" t="str">
        <f>IF(Table2[[#This Row],[Counter Number]]="","",Table1[[#This Row],[Engine Cylinder Displacement (L):]]&amp;" L")</f>
        <v/>
      </c>
      <c r="Z131" s="165" t="str">
        <f>IF(Table2[[#This Row],[Counter Number]]="","",Table1[[#This Row],[Engine Number of Cylinders:]])</f>
        <v/>
      </c>
      <c r="AA131" s="166" t="str">
        <f>IF(Table2[[#This Row],[Counter Number]]="","",Table1[[#This Row],[Engine Family Name:]])</f>
        <v/>
      </c>
      <c r="AB131" s="60" t="str">
        <f>IF(Table2[[#This Row],[Counter Number]]="","","ULSD")</f>
        <v/>
      </c>
      <c r="AC131" s="167" t="str">
        <f>IF(Table2[[#This Row],[Counter Number]]="","",Table2[[#This Row],[Annual Miles Traveled:]]/Table1[[#This Row],[Old Fuel (mpg)]])</f>
        <v/>
      </c>
      <c r="AD131" s="60" t="str">
        <f>IF(Table2[[#This Row],[Counter Number]]="","","NA")</f>
        <v/>
      </c>
      <c r="AE131" s="168" t="str">
        <f>IF(Table2[[#This Row],[Counter Number]]="","",Table1[[#This Row],[Annual Miles Traveled]])</f>
        <v/>
      </c>
      <c r="AF131" s="169" t="str">
        <f>IF(Table2[[#This Row],[Counter Number]]="","",Table1[[#This Row],[Annual Idling Hours:]])</f>
        <v/>
      </c>
      <c r="AG131" s="60" t="str">
        <f>IF(Table2[[#This Row],[Counter Number]]="","","NA")</f>
        <v/>
      </c>
      <c r="AH131" s="165" t="str">
        <f>IF(Table2[[#This Row],[Counter Number]]="","",IF(Application!$J$25="Set Policy",Table1[[#This Row],[Remaining Life (years)         Set Policy]],Table1[[#This Row],[Remaining Life (years)               Case-by-Case]]))</f>
        <v/>
      </c>
      <c r="AI131" s="165" t="str">
        <f>IF(Table2[[#This Row],[Counter Number]]="","",IF(Application!$J$25="Case-by-Case","NA",Table2[[#This Row],[Fiscal Year of EPA Funds Used:]]+Table2[[#This Row],[Remaining Life:]]))</f>
        <v/>
      </c>
      <c r="AJ131" s="165"/>
      <c r="AK131" s="170" t="str">
        <f>IF(Table2[[#This Row],[Counter Number]]="","",Application!$D$14+1)</f>
        <v/>
      </c>
      <c r="AL131" s="60" t="str">
        <f>IF(Table2[[#This Row],[Counter Number]]="","","Vehicle Replacement")</f>
        <v/>
      </c>
      <c r="AM13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1" s="171" t="str">
        <f>IF(Table2[[#This Row],[Counter Number]]="","",Table1[[#This Row],[Cost of New Bus:]])</f>
        <v/>
      </c>
      <c r="AO131" s="60" t="str">
        <f>IF(Table2[[#This Row],[Counter Number]]="","","NA")</f>
        <v/>
      </c>
      <c r="AP131" s="165" t="str">
        <f>IF(Table2[[#This Row],[Counter Number]]="","",Table1[[#This Row],[New Engine Model Year:]])</f>
        <v/>
      </c>
      <c r="AQ131" s="60" t="str">
        <f>IF(Table2[[#This Row],[Counter Number]]="","","NA")</f>
        <v/>
      </c>
      <c r="AR131" s="165" t="str">
        <f>IF(Table2[[#This Row],[Counter Number]]="","",Table1[[#This Row],[New Engine Horsepower (HP):]])</f>
        <v/>
      </c>
      <c r="AS131" s="60" t="str">
        <f>IF(Table2[[#This Row],[Counter Number]]="","","NA")</f>
        <v/>
      </c>
      <c r="AT131" s="165" t="str">
        <f>IF(Table2[[#This Row],[Counter Number]]="","",Table1[[#This Row],[New Engine Cylinder Displacement (L):]]&amp;" L")</f>
        <v/>
      </c>
      <c r="AU131" s="114" t="str">
        <f>IF(Table2[[#This Row],[Counter Number]]="","",Table1[[#This Row],[New Engine Number of Cylinders:]])</f>
        <v/>
      </c>
      <c r="AV131" s="60" t="str">
        <f>IF(Table2[[#This Row],[Counter Number]]="","",Table1[[#This Row],[New Engine Family Name:]])</f>
        <v/>
      </c>
      <c r="AW13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1" s="60" t="str">
        <f>IF(Table2[[#This Row],[Counter Number]]="","","NA")</f>
        <v/>
      </c>
      <c r="AY131" s="172" t="str">
        <f>IF(Table2[[#This Row],[Counter Number]]="","",IF(Table2[[#This Row],[New Engine Fuel Type:]]="ULSD",Table1[[#This Row],[Annual Miles Traveled]]/Table1[[#This Row],[New Fuel (mpg) if Diesel]],""))</f>
        <v/>
      </c>
      <c r="AZ131" s="60"/>
      <c r="BA131" s="173" t="str">
        <f>IF(Table2[[#This Row],[Counter Number]]="","",Table2[[#This Row],[Annual Miles Traveled:]]*VLOOKUP(Table2[[#This Row],[Engine Model Year:]],EFTable[],3,FALSE))</f>
        <v/>
      </c>
      <c r="BB131" s="173" t="str">
        <f>IF(Table2[[#This Row],[Counter Number]]="","",Table2[[#This Row],[Annual Miles Traveled:]]*IF(Table2[[#This Row],[New Engine Fuel Type:]]="ULSD",VLOOKUP(Table2[[#This Row],[New Engine Model Year:]],EFTable[],3,FALSE),VLOOKUP(Table2[[#This Row],[New Engine Fuel Type:]],EFTable[],3,FALSE)))</f>
        <v/>
      </c>
      <c r="BC131" s="187" t="str">
        <f>IF(Table2[[#This Row],[Counter Number]]="","",Table2[[#This Row],[Old Bus NOx Emissions (tons/yr)]]-Table2[[#This Row],[New Bus NOx Emissions (tons/yr)]])</f>
        <v/>
      </c>
      <c r="BD131" s="188" t="str">
        <f>IF(Table2[[#This Row],[Counter Number]]="","",Table2[[#This Row],[Reduction Bus NOx Emissions (tons/yr)]]/Table2[[#This Row],[Old Bus NOx Emissions (tons/yr)]])</f>
        <v/>
      </c>
      <c r="BE131" s="175" t="str">
        <f>IF(Table2[[#This Row],[Counter Number]]="","",Table2[[#This Row],[Reduction Bus NOx Emissions (tons/yr)]]*Table2[[#This Row],[Remaining Life:]])</f>
        <v/>
      </c>
      <c r="BF131" s="189" t="str">
        <f>IF(Table2[[#This Row],[Counter Number]]="","",IF(Table2[[#This Row],[Lifetime NOx Reduction (tons)]]=0,"NA",Table2[[#This Row],[Upgrade Cost Per Unit]]/Table2[[#This Row],[Lifetime NOx Reduction (tons)]]))</f>
        <v/>
      </c>
      <c r="BG131" s="190" t="str">
        <f>IF(Table2[[#This Row],[Counter Number]]="","",Table2[[#This Row],[Annual Miles Traveled:]]*VLOOKUP(Table2[[#This Row],[Engine Model Year:]],EF!$A$2:$G$27,4,FALSE))</f>
        <v/>
      </c>
      <c r="BH131" s="173" t="str">
        <f>IF(Table2[[#This Row],[Counter Number]]="","",Table2[[#This Row],[Annual Miles Traveled:]]*IF(Table2[[#This Row],[New Engine Fuel Type:]]="ULSD",VLOOKUP(Table2[[#This Row],[New Engine Model Year:]],EFTable[],4,FALSE),VLOOKUP(Table2[[#This Row],[New Engine Fuel Type:]],EFTable[],4,FALSE)))</f>
        <v/>
      </c>
      <c r="BI131" s="191" t="str">
        <f>IF(Table2[[#This Row],[Counter Number]]="","",Table2[[#This Row],[Old Bus PM2.5 Emissions (tons/yr)]]-Table2[[#This Row],[New Bus PM2.5 Emissions (tons/yr)]])</f>
        <v/>
      </c>
      <c r="BJ131" s="192" t="str">
        <f>IF(Table2[[#This Row],[Counter Number]]="","",Table2[[#This Row],[Reduction Bus PM2.5 Emissions (tons/yr)]]/Table2[[#This Row],[Old Bus PM2.5 Emissions (tons/yr)]])</f>
        <v/>
      </c>
      <c r="BK131" s="193" t="str">
        <f>IF(Table2[[#This Row],[Counter Number]]="","",Table2[[#This Row],[Reduction Bus PM2.5 Emissions (tons/yr)]]*Table2[[#This Row],[Remaining Life:]])</f>
        <v/>
      </c>
      <c r="BL131" s="194" t="str">
        <f>IF(Table2[[#This Row],[Counter Number]]="","",IF(Table2[[#This Row],[Lifetime PM2.5 Reduction (tons)]]=0,"NA",Table2[[#This Row],[Upgrade Cost Per Unit]]/Table2[[#This Row],[Lifetime PM2.5 Reduction (tons)]]))</f>
        <v/>
      </c>
      <c r="BM131" s="179" t="str">
        <f>IF(Table2[[#This Row],[Counter Number]]="","",Table2[[#This Row],[Annual Miles Traveled:]]*VLOOKUP(Table2[[#This Row],[Engine Model Year:]],EF!$A$2:$G$40,5,FALSE))</f>
        <v/>
      </c>
      <c r="BN131" s="173" t="str">
        <f>IF(Table2[[#This Row],[Counter Number]]="","",Table2[[#This Row],[Annual Miles Traveled:]]*IF(Table2[[#This Row],[New Engine Fuel Type:]]="ULSD",VLOOKUP(Table2[[#This Row],[New Engine Model Year:]],EFTable[],5,FALSE),VLOOKUP(Table2[[#This Row],[New Engine Fuel Type:]],EFTable[],5,FALSE)))</f>
        <v/>
      </c>
      <c r="BO131" s="190" t="str">
        <f>IF(Table2[[#This Row],[Counter Number]]="","",Table2[[#This Row],[Old Bus HC Emissions (tons/yr)]]-Table2[[#This Row],[New Bus HC Emissions (tons/yr)]])</f>
        <v/>
      </c>
      <c r="BP131" s="188" t="str">
        <f>IF(Table2[[#This Row],[Counter Number]]="","",Table2[[#This Row],[Reduction Bus HC Emissions (tons/yr)]]/Table2[[#This Row],[Old Bus HC Emissions (tons/yr)]])</f>
        <v/>
      </c>
      <c r="BQ131" s="193" t="str">
        <f>IF(Table2[[#This Row],[Counter Number]]="","",Table2[[#This Row],[Reduction Bus HC Emissions (tons/yr)]]*Table2[[#This Row],[Remaining Life:]])</f>
        <v/>
      </c>
      <c r="BR131" s="194" t="str">
        <f>IF(Table2[[#This Row],[Counter Number]]="","",IF(Table2[[#This Row],[Lifetime HC Reduction (tons)]]=0,"NA",Table2[[#This Row],[Upgrade Cost Per Unit]]/Table2[[#This Row],[Lifetime HC Reduction (tons)]]))</f>
        <v/>
      </c>
      <c r="BS131" s="191" t="str">
        <f>IF(Table2[[#This Row],[Counter Number]]="","",Table2[[#This Row],[Annual Miles Traveled:]]*VLOOKUP(Table2[[#This Row],[Engine Model Year:]],EF!$A$2:$G$27,6,FALSE))</f>
        <v/>
      </c>
      <c r="BT131" s="173" t="str">
        <f>IF(Table2[[#This Row],[Counter Number]]="","",Table2[[#This Row],[Annual Miles Traveled:]]*IF(Table2[[#This Row],[New Engine Fuel Type:]]="ULSD",VLOOKUP(Table2[[#This Row],[New Engine Model Year:]],EFTable[],6,FALSE),VLOOKUP(Table2[[#This Row],[New Engine Fuel Type:]],EFTable[],6,FALSE)))</f>
        <v/>
      </c>
      <c r="BU131" s="190" t="str">
        <f>IF(Table2[[#This Row],[Counter Number]]="","",Table2[[#This Row],[Old Bus CO Emissions (tons/yr)]]-Table2[[#This Row],[New Bus CO Emissions (tons/yr)]])</f>
        <v/>
      </c>
      <c r="BV131" s="188" t="str">
        <f>IF(Table2[[#This Row],[Counter Number]]="","",Table2[[#This Row],[Reduction Bus CO Emissions (tons/yr)]]/Table2[[#This Row],[Old Bus CO Emissions (tons/yr)]])</f>
        <v/>
      </c>
      <c r="BW131" s="193" t="str">
        <f>IF(Table2[[#This Row],[Counter Number]]="","",Table2[[#This Row],[Reduction Bus CO Emissions (tons/yr)]]*Table2[[#This Row],[Remaining Life:]])</f>
        <v/>
      </c>
      <c r="BX131" s="194" t="str">
        <f>IF(Table2[[#This Row],[Counter Number]]="","",IF(Table2[[#This Row],[Lifetime CO Reduction (tons)]]=0,"NA",Table2[[#This Row],[Upgrade Cost Per Unit]]/Table2[[#This Row],[Lifetime CO Reduction (tons)]]))</f>
        <v/>
      </c>
      <c r="BY131" s="180" t="str">
        <f>IF(Table2[[#This Row],[Counter Number]]="","",Table2[[#This Row],[Old ULSD Used (gal):]]*VLOOKUP(Table2[[#This Row],[Engine Model Year:]],EF!$A$2:$G$27,7,FALSE))</f>
        <v/>
      </c>
      <c r="BZ13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1" s="195" t="str">
        <f>IF(Table2[[#This Row],[Counter Number]]="","",Table2[[#This Row],[Old Bus CO2 Emissions (tons/yr)]]-Table2[[#This Row],[New Bus CO2 Emissions (tons/yr)]])</f>
        <v/>
      </c>
      <c r="CB131" s="188" t="str">
        <f>IF(Table2[[#This Row],[Counter Number]]="","",Table2[[#This Row],[Reduction Bus CO2 Emissions (tons/yr)]]/Table2[[#This Row],[Old Bus CO2 Emissions (tons/yr)]])</f>
        <v/>
      </c>
      <c r="CC131" s="195" t="str">
        <f>IF(Table2[[#This Row],[Counter Number]]="","",Table2[[#This Row],[Reduction Bus CO2 Emissions (tons/yr)]]*Table2[[#This Row],[Remaining Life:]])</f>
        <v/>
      </c>
      <c r="CD131" s="194" t="str">
        <f>IF(Table2[[#This Row],[Counter Number]]="","",IF(Table2[[#This Row],[Lifetime CO2 Reduction (tons)]]=0,"NA",Table2[[#This Row],[Upgrade Cost Per Unit]]/Table2[[#This Row],[Lifetime CO2 Reduction (tons)]]))</f>
        <v/>
      </c>
      <c r="CE131" s="182" t="str">
        <f>IF(Table2[[#This Row],[Counter Number]]="","",IF(Table2[[#This Row],[New ULSD Used (gal):]]="",Table2[[#This Row],[Old ULSD Used (gal):]],Table2[[#This Row],[Old ULSD Used (gal):]]-Table2[[#This Row],[New ULSD Used (gal):]]))</f>
        <v/>
      </c>
      <c r="CF131" s="196" t="str">
        <f>IF(Table2[[#This Row],[Counter Number]]="","",Table2[[#This Row],[Diesel Fuel Reduction (gal/yr)]]/Table2[[#This Row],[Old ULSD Used (gal):]])</f>
        <v/>
      </c>
      <c r="CG131" s="197" t="str">
        <f>IF(Table2[[#This Row],[Counter Number]]="","",Table2[[#This Row],[Diesel Fuel Reduction (gal/yr)]]*Table2[[#This Row],[Remaining Life:]])</f>
        <v/>
      </c>
    </row>
    <row r="132" spans="1:85">
      <c r="A132" s="184" t="str">
        <f>IF(A131&lt;Application!$D$24,A131+1,"")</f>
        <v/>
      </c>
      <c r="B132" s="60" t="str">
        <f>IF(Table2[[#This Row],[Counter Number]]="","",Application!$D$16)</f>
        <v/>
      </c>
      <c r="C132" s="60" t="str">
        <f>IF(Table2[[#This Row],[Counter Number]]="","",Application!$D$14)</f>
        <v/>
      </c>
      <c r="D132" s="60" t="str">
        <f>IF(Table2[[#This Row],[Counter Number]]="","",Table1[[#This Row],[Old Bus Number]])</f>
        <v/>
      </c>
      <c r="E132" s="60" t="str">
        <f>IF(Table2[[#This Row],[Counter Number]]="","",Application!$D$15)</f>
        <v/>
      </c>
      <c r="F132" s="60" t="str">
        <f>IF(Table2[[#This Row],[Counter Number]]="","","On Highway")</f>
        <v/>
      </c>
      <c r="G132" s="60" t="str">
        <f>IF(Table2[[#This Row],[Counter Number]]="","",I132)</f>
        <v/>
      </c>
      <c r="H132" s="60" t="str">
        <f>IF(Table2[[#This Row],[Counter Number]]="","","Georgia")</f>
        <v/>
      </c>
      <c r="I132" s="60" t="str">
        <f>IF(Table2[[#This Row],[Counter Number]]="","",Application!$D$16)</f>
        <v/>
      </c>
      <c r="J132" s="60" t="str">
        <f>IF(Table2[[#This Row],[Counter Number]]="","",Application!$D$21)</f>
        <v/>
      </c>
      <c r="K132" s="60" t="str">
        <f>IF(Table2[[#This Row],[Counter Number]]="","",Application!$J$21)</f>
        <v/>
      </c>
      <c r="L132" s="60" t="str">
        <f>IF(Table2[[#This Row],[Counter Number]]="","","School Bus")</f>
        <v/>
      </c>
      <c r="M132" s="60" t="str">
        <f>IF(Table2[[#This Row],[Counter Number]]="","","School Bus")</f>
        <v/>
      </c>
      <c r="N132" s="60" t="str">
        <f>IF(Table2[[#This Row],[Counter Number]]="","",1)</f>
        <v/>
      </c>
      <c r="O132" s="60" t="str">
        <f>IF(Table2[[#This Row],[Counter Number]]="","",Table1[[#This Row],[Vehicle Identification Number(s):]])</f>
        <v/>
      </c>
      <c r="P132" s="60" t="str">
        <f>IF(Table2[[#This Row],[Counter Number]]="","",Table1[[#This Row],[Old Bus Manufacturer:]])</f>
        <v/>
      </c>
      <c r="Q132" s="60" t="str">
        <f>IF(Table2[[#This Row],[Counter Number]]="","",Table1[[#This Row],[Vehicle Model:]])</f>
        <v/>
      </c>
      <c r="R132" s="165" t="str">
        <f>IF(Table2[[#This Row],[Counter Number]]="","",Table1[[#This Row],[Vehicle Model Year:]])</f>
        <v/>
      </c>
      <c r="S132" s="60" t="str">
        <f>IF(Table2[[#This Row],[Counter Number]]="","",Table1[[#This Row],[Engine Serial Number(s):]])</f>
        <v/>
      </c>
      <c r="T132" s="60" t="str">
        <f>IF(Table2[[#This Row],[Counter Number]]="","",Table1[[#This Row],[Engine Make:]])</f>
        <v/>
      </c>
      <c r="U132" s="60" t="str">
        <f>IF(Table2[[#This Row],[Counter Number]]="","",Table1[[#This Row],[Engine Model:]])</f>
        <v/>
      </c>
      <c r="V132" s="165" t="str">
        <f>IF(Table2[[#This Row],[Counter Number]]="","",Table1[[#This Row],[Engine Model Year:]])</f>
        <v/>
      </c>
      <c r="W132" s="60" t="str">
        <f>IF(Table2[[#This Row],[Counter Number]]="","","NA")</f>
        <v/>
      </c>
      <c r="X132" s="165" t="str">
        <f>IF(Table2[[#This Row],[Counter Number]]="","",Table1[[#This Row],[Engine Horsepower (HP):]])</f>
        <v/>
      </c>
      <c r="Y132" s="165" t="str">
        <f>IF(Table2[[#This Row],[Counter Number]]="","",Table1[[#This Row],[Engine Cylinder Displacement (L):]]&amp;" L")</f>
        <v/>
      </c>
      <c r="Z132" s="165" t="str">
        <f>IF(Table2[[#This Row],[Counter Number]]="","",Table1[[#This Row],[Engine Number of Cylinders:]])</f>
        <v/>
      </c>
      <c r="AA132" s="166" t="str">
        <f>IF(Table2[[#This Row],[Counter Number]]="","",Table1[[#This Row],[Engine Family Name:]])</f>
        <v/>
      </c>
      <c r="AB132" s="60" t="str">
        <f>IF(Table2[[#This Row],[Counter Number]]="","","ULSD")</f>
        <v/>
      </c>
      <c r="AC132" s="167" t="str">
        <f>IF(Table2[[#This Row],[Counter Number]]="","",Table2[[#This Row],[Annual Miles Traveled:]]/Table1[[#This Row],[Old Fuel (mpg)]])</f>
        <v/>
      </c>
      <c r="AD132" s="60" t="str">
        <f>IF(Table2[[#This Row],[Counter Number]]="","","NA")</f>
        <v/>
      </c>
      <c r="AE132" s="168" t="str">
        <f>IF(Table2[[#This Row],[Counter Number]]="","",Table1[[#This Row],[Annual Miles Traveled]])</f>
        <v/>
      </c>
      <c r="AF132" s="169" t="str">
        <f>IF(Table2[[#This Row],[Counter Number]]="","",Table1[[#This Row],[Annual Idling Hours:]])</f>
        <v/>
      </c>
      <c r="AG132" s="60" t="str">
        <f>IF(Table2[[#This Row],[Counter Number]]="","","NA")</f>
        <v/>
      </c>
      <c r="AH132" s="165" t="str">
        <f>IF(Table2[[#This Row],[Counter Number]]="","",IF(Application!$J$25="Set Policy",Table1[[#This Row],[Remaining Life (years)         Set Policy]],Table1[[#This Row],[Remaining Life (years)               Case-by-Case]]))</f>
        <v/>
      </c>
      <c r="AI132" s="165" t="str">
        <f>IF(Table2[[#This Row],[Counter Number]]="","",IF(Application!$J$25="Case-by-Case","NA",Table2[[#This Row],[Fiscal Year of EPA Funds Used:]]+Table2[[#This Row],[Remaining Life:]]))</f>
        <v/>
      </c>
      <c r="AJ132" s="165"/>
      <c r="AK132" s="170" t="str">
        <f>IF(Table2[[#This Row],[Counter Number]]="","",Application!$D$14+1)</f>
        <v/>
      </c>
      <c r="AL132" s="60" t="str">
        <f>IF(Table2[[#This Row],[Counter Number]]="","","Vehicle Replacement")</f>
        <v/>
      </c>
      <c r="AM13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2" s="171" t="str">
        <f>IF(Table2[[#This Row],[Counter Number]]="","",Table1[[#This Row],[Cost of New Bus:]])</f>
        <v/>
      </c>
      <c r="AO132" s="60" t="str">
        <f>IF(Table2[[#This Row],[Counter Number]]="","","NA")</f>
        <v/>
      </c>
      <c r="AP132" s="165" t="str">
        <f>IF(Table2[[#This Row],[Counter Number]]="","",Table1[[#This Row],[New Engine Model Year:]])</f>
        <v/>
      </c>
      <c r="AQ132" s="60" t="str">
        <f>IF(Table2[[#This Row],[Counter Number]]="","","NA")</f>
        <v/>
      </c>
      <c r="AR132" s="165" t="str">
        <f>IF(Table2[[#This Row],[Counter Number]]="","",Table1[[#This Row],[New Engine Horsepower (HP):]])</f>
        <v/>
      </c>
      <c r="AS132" s="60" t="str">
        <f>IF(Table2[[#This Row],[Counter Number]]="","","NA")</f>
        <v/>
      </c>
      <c r="AT132" s="165" t="str">
        <f>IF(Table2[[#This Row],[Counter Number]]="","",Table1[[#This Row],[New Engine Cylinder Displacement (L):]]&amp;" L")</f>
        <v/>
      </c>
      <c r="AU132" s="114" t="str">
        <f>IF(Table2[[#This Row],[Counter Number]]="","",Table1[[#This Row],[New Engine Number of Cylinders:]])</f>
        <v/>
      </c>
      <c r="AV132" s="60" t="str">
        <f>IF(Table2[[#This Row],[Counter Number]]="","",Table1[[#This Row],[New Engine Family Name:]])</f>
        <v/>
      </c>
      <c r="AW13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2" s="60" t="str">
        <f>IF(Table2[[#This Row],[Counter Number]]="","","NA")</f>
        <v/>
      </c>
      <c r="AY132" s="172" t="str">
        <f>IF(Table2[[#This Row],[Counter Number]]="","",IF(Table2[[#This Row],[New Engine Fuel Type:]]="ULSD",Table1[[#This Row],[Annual Miles Traveled]]/Table1[[#This Row],[New Fuel (mpg) if Diesel]],""))</f>
        <v/>
      </c>
      <c r="AZ132" s="60"/>
      <c r="BA132" s="173" t="str">
        <f>IF(Table2[[#This Row],[Counter Number]]="","",Table2[[#This Row],[Annual Miles Traveled:]]*VLOOKUP(Table2[[#This Row],[Engine Model Year:]],EFTable[],3,FALSE))</f>
        <v/>
      </c>
      <c r="BB132" s="173" t="str">
        <f>IF(Table2[[#This Row],[Counter Number]]="","",Table2[[#This Row],[Annual Miles Traveled:]]*IF(Table2[[#This Row],[New Engine Fuel Type:]]="ULSD",VLOOKUP(Table2[[#This Row],[New Engine Model Year:]],EFTable[],3,FALSE),VLOOKUP(Table2[[#This Row],[New Engine Fuel Type:]],EFTable[],3,FALSE)))</f>
        <v/>
      </c>
      <c r="BC132" s="187" t="str">
        <f>IF(Table2[[#This Row],[Counter Number]]="","",Table2[[#This Row],[Old Bus NOx Emissions (tons/yr)]]-Table2[[#This Row],[New Bus NOx Emissions (tons/yr)]])</f>
        <v/>
      </c>
      <c r="BD132" s="188" t="str">
        <f>IF(Table2[[#This Row],[Counter Number]]="","",Table2[[#This Row],[Reduction Bus NOx Emissions (tons/yr)]]/Table2[[#This Row],[Old Bus NOx Emissions (tons/yr)]])</f>
        <v/>
      </c>
      <c r="BE132" s="175" t="str">
        <f>IF(Table2[[#This Row],[Counter Number]]="","",Table2[[#This Row],[Reduction Bus NOx Emissions (tons/yr)]]*Table2[[#This Row],[Remaining Life:]])</f>
        <v/>
      </c>
      <c r="BF132" s="189" t="str">
        <f>IF(Table2[[#This Row],[Counter Number]]="","",IF(Table2[[#This Row],[Lifetime NOx Reduction (tons)]]=0,"NA",Table2[[#This Row],[Upgrade Cost Per Unit]]/Table2[[#This Row],[Lifetime NOx Reduction (tons)]]))</f>
        <v/>
      </c>
      <c r="BG132" s="190" t="str">
        <f>IF(Table2[[#This Row],[Counter Number]]="","",Table2[[#This Row],[Annual Miles Traveled:]]*VLOOKUP(Table2[[#This Row],[Engine Model Year:]],EF!$A$2:$G$27,4,FALSE))</f>
        <v/>
      </c>
      <c r="BH132" s="173" t="str">
        <f>IF(Table2[[#This Row],[Counter Number]]="","",Table2[[#This Row],[Annual Miles Traveled:]]*IF(Table2[[#This Row],[New Engine Fuel Type:]]="ULSD",VLOOKUP(Table2[[#This Row],[New Engine Model Year:]],EFTable[],4,FALSE),VLOOKUP(Table2[[#This Row],[New Engine Fuel Type:]],EFTable[],4,FALSE)))</f>
        <v/>
      </c>
      <c r="BI132" s="191" t="str">
        <f>IF(Table2[[#This Row],[Counter Number]]="","",Table2[[#This Row],[Old Bus PM2.5 Emissions (tons/yr)]]-Table2[[#This Row],[New Bus PM2.5 Emissions (tons/yr)]])</f>
        <v/>
      </c>
      <c r="BJ132" s="192" t="str">
        <f>IF(Table2[[#This Row],[Counter Number]]="","",Table2[[#This Row],[Reduction Bus PM2.5 Emissions (tons/yr)]]/Table2[[#This Row],[Old Bus PM2.5 Emissions (tons/yr)]])</f>
        <v/>
      </c>
      <c r="BK132" s="193" t="str">
        <f>IF(Table2[[#This Row],[Counter Number]]="","",Table2[[#This Row],[Reduction Bus PM2.5 Emissions (tons/yr)]]*Table2[[#This Row],[Remaining Life:]])</f>
        <v/>
      </c>
      <c r="BL132" s="194" t="str">
        <f>IF(Table2[[#This Row],[Counter Number]]="","",IF(Table2[[#This Row],[Lifetime PM2.5 Reduction (tons)]]=0,"NA",Table2[[#This Row],[Upgrade Cost Per Unit]]/Table2[[#This Row],[Lifetime PM2.5 Reduction (tons)]]))</f>
        <v/>
      </c>
      <c r="BM132" s="179" t="str">
        <f>IF(Table2[[#This Row],[Counter Number]]="","",Table2[[#This Row],[Annual Miles Traveled:]]*VLOOKUP(Table2[[#This Row],[Engine Model Year:]],EF!$A$2:$G$40,5,FALSE))</f>
        <v/>
      </c>
      <c r="BN132" s="173" t="str">
        <f>IF(Table2[[#This Row],[Counter Number]]="","",Table2[[#This Row],[Annual Miles Traveled:]]*IF(Table2[[#This Row],[New Engine Fuel Type:]]="ULSD",VLOOKUP(Table2[[#This Row],[New Engine Model Year:]],EFTable[],5,FALSE),VLOOKUP(Table2[[#This Row],[New Engine Fuel Type:]],EFTable[],5,FALSE)))</f>
        <v/>
      </c>
      <c r="BO132" s="190" t="str">
        <f>IF(Table2[[#This Row],[Counter Number]]="","",Table2[[#This Row],[Old Bus HC Emissions (tons/yr)]]-Table2[[#This Row],[New Bus HC Emissions (tons/yr)]])</f>
        <v/>
      </c>
      <c r="BP132" s="188" t="str">
        <f>IF(Table2[[#This Row],[Counter Number]]="","",Table2[[#This Row],[Reduction Bus HC Emissions (tons/yr)]]/Table2[[#This Row],[Old Bus HC Emissions (tons/yr)]])</f>
        <v/>
      </c>
      <c r="BQ132" s="193" t="str">
        <f>IF(Table2[[#This Row],[Counter Number]]="","",Table2[[#This Row],[Reduction Bus HC Emissions (tons/yr)]]*Table2[[#This Row],[Remaining Life:]])</f>
        <v/>
      </c>
      <c r="BR132" s="194" t="str">
        <f>IF(Table2[[#This Row],[Counter Number]]="","",IF(Table2[[#This Row],[Lifetime HC Reduction (tons)]]=0,"NA",Table2[[#This Row],[Upgrade Cost Per Unit]]/Table2[[#This Row],[Lifetime HC Reduction (tons)]]))</f>
        <v/>
      </c>
      <c r="BS132" s="191" t="str">
        <f>IF(Table2[[#This Row],[Counter Number]]="","",Table2[[#This Row],[Annual Miles Traveled:]]*VLOOKUP(Table2[[#This Row],[Engine Model Year:]],EF!$A$2:$G$27,6,FALSE))</f>
        <v/>
      </c>
      <c r="BT132" s="173" t="str">
        <f>IF(Table2[[#This Row],[Counter Number]]="","",Table2[[#This Row],[Annual Miles Traveled:]]*IF(Table2[[#This Row],[New Engine Fuel Type:]]="ULSD",VLOOKUP(Table2[[#This Row],[New Engine Model Year:]],EFTable[],6,FALSE),VLOOKUP(Table2[[#This Row],[New Engine Fuel Type:]],EFTable[],6,FALSE)))</f>
        <v/>
      </c>
      <c r="BU132" s="190" t="str">
        <f>IF(Table2[[#This Row],[Counter Number]]="","",Table2[[#This Row],[Old Bus CO Emissions (tons/yr)]]-Table2[[#This Row],[New Bus CO Emissions (tons/yr)]])</f>
        <v/>
      </c>
      <c r="BV132" s="188" t="str">
        <f>IF(Table2[[#This Row],[Counter Number]]="","",Table2[[#This Row],[Reduction Bus CO Emissions (tons/yr)]]/Table2[[#This Row],[Old Bus CO Emissions (tons/yr)]])</f>
        <v/>
      </c>
      <c r="BW132" s="193" t="str">
        <f>IF(Table2[[#This Row],[Counter Number]]="","",Table2[[#This Row],[Reduction Bus CO Emissions (tons/yr)]]*Table2[[#This Row],[Remaining Life:]])</f>
        <v/>
      </c>
      <c r="BX132" s="194" t="str">
        <f>IF(Table2[[#This Row],[Counter Number]]="","",IF(Table2[[#This Row],[Lifetime CO Reduction (tons)]]=0,"NA",Table2[[#This Row],[Upgrade Cost Per Unit]]/Table2[[#This Row],[Lifetime CO Reduction (tons)]]))</f>
        <v/>
      </c>
      <c r="BY132" s="180" t="str">
        <f>IF(Table2[[#This Row],[Counter Number]]="","",Table2[[#This Row],[Old ULSD Used (gal):]]*VLOOKUP(Table2[[#This Row],[Engine Model Year:]],EF!$A$2:$G$27,7,FALSE))</f>
        <v/>
      </c>
      <c r="BZ13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2" s="195" t="str">
        <f>IF(Table2[[#This Row],[Counter Number]]="","",Table2[[#This Row],[Old Bus CO2 Emissions (tons/yr)]]-Table2[[#This Row],[New Bus CO2 Emissions (tons/yr)]])</f>
        <v/>
      </c>
      <c r="CB132" s="188" t="str">
        <f>IF(Table2[[#This Row],[Counter Number]]="","",Table2[[#This Row],[Reduction Bus CO2 Emissions (tons/yr)]]/Table2[[#This Row],[Old Bus CO2 Emissions (tons/yr)]])</f>
        <v/>
      </c>
      <c r="CC132" s="195" t="str">
        <f>IF(Table2[[#This Row],[Counter Number]]="","",Table2[[#This Row],[Reduction Bus CO2 Emissions (tons/yr)]]*Table2[[#This Row],[Remaining Life:]])</f>
        <v/>
      </c>
      <c r="CD132" s="194" t="str">
        <f>IF(Table2[[#This Row],[Counter Number]]="","",IF(Table2[[#This Row],[Lifetime CO2 Reduction (tons)]]=0,"NA",Table2[[#This Row],[Upgrade Cost Per Unit]]/Table2[[#This Row],[Lifetime CO2 Reduction (tons)]]))</f>
        <v/>
      </c>
      <c r="CE132" s="182" t="str">
        <f>IF(Table2[[#This Row],[Counter Number]]="","",IF(Table2[[#This Row],[New ULSD Used (gal):]]="",Table2[[#This Row],[Old ULSD Used (gal):]],Table2[[#This Row],[Old ULSD Used (gal):]]-Table2[[#This Row],[New ULSD Used (gal):]]))</f>
        <v/>
      </c>
      <c r="CF132" s="196" t="str">
        <f>IF(Table2[[#This Row],[Counter Number]]="","",Table2[[#This Row],[Diesel Fuel Reduction (gal/yr)]]/Table2[[#This Row],[Old ULSD Used (gal):]])</f>
        <v/>
      </c>
      <c r="CG132" s="197" t="str">
        <f>IF(Table2[[#This Row],[Counter Number]]="","",Table2[[#This Row],[Diesel Fuel Reduction (gal/yr)]]*Table2[[#This Row],[Remaining Life:]])</f>
        <v/>
      </c>
    </row>
    <row r="133" spans="1:85">
      <c r="A133" s="184" t="str">
        <f>IF(A132&lt;Application!$D$24,A132+1,"")</f>
        <v/>
      </c>
      <c r="B133" s="60" t="str">
        <f>IF(Table2[[#This Row],[Counter Number]]="","",Application!$D$16)</f>
        <v/>
      </c>
      <c r="C133" s="60" t="str">
        <f>IF(Table2[[#This Row],[Counter Number]]="","",Application!$D$14)</f>
        <v/>
      </c>
      <c r="D133" s="60" t="str">
        <f>IF(Table2[[#This Row],[Counter Number]]="","",Table1[[#This Row],[Old Bus Number]])</f>
        <v/>
      </c>
      <c r="E133" s="60" t="str">
        <f>IF(Table2[[#This Row],[Counter Number]]="","",Application!$D$15)</f>
        <v/>
      </c>
      <c r="F133" s="60" t="str">
        <f>IF(Table2[[#This Row],[Counter Number]]="","","On Highway")</f>
        <v/>
      </c>
      <c r="G133" s="60" t="str">
        <f>IF(Table2[[#This Row],[Counter Number]]="","",I133)</f>
        <v/>
      </c>
      <c r="H133" s="60" t="str">
        <f>IF(Table2[[#This Row],[Counter Number]]="","","Georgia")</f>
        <v/>
      </c>
      <c r="I133" s="60" t="str">
        <f>IF(Table2[[#This Row],[Counter Number]]="","",Application!$D$16)</f>
        <v/>
      </c>
      <c r="J133" s="60" t="str">
        <f>IF(Table2[[#This Row],[Counter Number]]="","",Application!$D$21)</f>
        <v/>
      </c>
      <c r="K133" s="60" t="str">
        <f>IF(Table2[[#This Row],[Counter Number]]="","",Application!$J$21)</f>
        <v/>
      </c>
      <c r="L133" s="60" t="str">
        <f>IF(Table2[[#This Row],[Counter Number]]="","","School Bus")</f>
        <v/>
      </c>
      <c r="M133" s="60" t="str">
        <f>IF(Table2[[#This Row],[Counter Number]]="","","School Bus")</f>
        <v/>
      </c>
      <c r="N133" s="60" t="str">
        <f>IF(Table2[[#This Row],[Counter Number]]="","",1)</f>
        <v/>
      </c>
      <c r="O133" s="60" t="str">
        <f>IF(Table2[[#This Row],[Counter Number]]="","",Table1[[#This Row],[Vehicle Identification Number(s):]])</f>
        <v/>
      </c>
      <c r="P133" s="60" t="str">
        <f>IF(Table2[[#This Row],[Counter Number]]="","",Table1[[#This Row],[Old Bus Manufacturer:]])</f>
        <v/>
      </c>
      <c r="Q133" s="60" t="str">
        <f>IF(Table2[[#This Row],[Counter Number]]="","",Table1[[#This Row],[Vehicle Model:]])</f>
        <v/>
      </c>
      <c r="R133" s="165" t="str">
        <f>IF(Table2[[#This Row],[Counter Number]]="","",Table1[[#This Row],[Vehicle Model Year:]])</f>
        <v/>
      </c>
      <c r="S133" s="60" t="str">
        <f>IF(Table2[[#This Row],[Counter Number]]="","",Table1[[#This Row],[Engine Serial Number(s):]])</f>
        <v/>
      </c>
      <c r="T133" s="60" t="str">
        <f>IF(Table2[[#This Row],[Counter Number]]="","",Table1[[#This Row],[Engine Make:]])</f>
        <v/>
      </c>
      <c r="U133" s="60" t="str">
        <f>IF(Table2[[#This Row],[Counter Number]]="","",Table1[[#This Row],[Engine Model:]])</f>
        <v/>
      </c>
      <c r="V133" s="165" t="str">
        <f>IF(Table2[[#This Row],[Counter Number]]="","",Table1[[#This Row],[Engine Model Year:]])</f>
        <v/>
      </c>
      <c r="W133" s="60" t="str">
        <f>IF(Table2[[#This Row],[Counter Number]]="","","NA")</f>
        <v/>
      </c>
      <c r="X133" s="165" t="str">
        <f>IF(Table2[[#This Row],[Counter Number]]="","",Table1[[#This Row],[Engine Horsepower (HP):]])</f>
        <v/>
      </c>
      <c r="Y133" s="165" t="str">
        <f>IF(Table2[[#This Row],[Counter Number]]="","",Table1[[#This Row],[Engine Cylinder Displacement (L):]]&amp;" L")</f>
        <v/>
      </c>
      <c r="Z133" s="165" t="str">
        <f>IF(Table2[[#This Row],[Counter Number]]="","",Table1[[#This Row],[Engine Number of Cylinders:]])</f>
        <v/>
      </c>
      <c r="AA133" s="166" t="str">
        <f>IF(Table2[[#This Row],[Counter Number]]="","",Table1[[#This Row],[Engine Family Name:]])</f>
        <v/>
      </c>
      <c r="AB133" s="60" t="str">
        <f>IF(Table2[[#This Row],[Counter Number]]="","","ULSD")</f>
        <v/>
      </c>
      <c r="AC133" s="167" t="str">
        <f>IF(Table2[[#This Row],[Counter Number]]="","",Table2[[#This Row],[Annual Miles Traveled:]]/Table1[[#This Row],[Old Fuel (mpg)]])</f>
        <v/>
      </c>
      <c r="AD133" s="60" t="str">
        <f>IF(Table2[[#This Row],[Counter Number]]="","","NA")</f>
        <v/>
      </c>
      <c r="AE133" s="168" t="str">
        <f>IF(Table2[[#This Row],[Counter Number]]="","",Table1[[#This Row],[Annual Miles Traveled]])</f>
        <v/>
      </c>
      <c r="AF133" s="169" t="str">
        <f>IF(Table2[[#This Row],[Counter Number]]="","",Table1[[#This Row],[Annual Idling Hours:]])</f>
        <v/>
      </c>
      <c r="AG133" s="60" t="str">
        <f>IF(Table2[[#This Row],[Counter Number]]="","","NA")</f>
        <v/>
      </c>
      <c r="AH133" s="165" t="str">
        <f>IF(Table2[[#This Row],[Counter Number]]="","",IF(Application!$J$25="Set Policy",Table1[[#This Row],[Remaining Life (years)         Set Policy]],Table1[[#This Row],[Remaining Life (years)               Case-by-Case]]))</f>
        <v/>
      </c>
      <c r="AI133" s="165" t="str">
        <f>IF(Table2[[#This Row],[Counter Number]]="","",IF(Application!$J$25="Case-by-Case","NA",Table2[[#This Row],[Fiscal Year of EPA Funds Used:]]+Table2[[#This Row],[Remaining Life:]]))</f>
        <v/>
      </c>
      <c r="AJ133" s="165"/>
      <c r="AK133" s="170" t="str">
        <f>IF(Table2[[#This Row],[Counter Number]]="","",Application!$D$14+1)</f>
        <v/>
      </c>
      <c r="AL133" s="60" t="str">
        <f>IF(Table2[[#This Row],[Counter Number]]="","","Vehicle Replacement")</f>
        <v/>
      </c>
      <c r="AM13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3" s="171" t="str">
        <f>IF(Table2[[#This Row],[Counter Number]]="","",Table1[[#This Row],[Cost of New Bus:]])</f>
        <v/>
      </c>
      <c r="AO133" s="60" t="str">
        <f>IF(Table2[[#This Row],[Counter Number]]="","","NA")</f>
        <v/>
      </c>
      <c r="AP133" s="165" t="str">
        <f>IF(Table2[[#This Row],[Counter Number]]="","",Table1[[#This Row],[New Engine Model Year:]])</f>
        <v/>
      </c>
      <c r="AQ133" s="60" t="str">
        <f>IF(Table2[[#This Row],[Counter Number]]="","","NA")</f>
        <v/>
      </c>
      <c r="AR133" s="165" t="str">
        <f>IF(Table2[[#This Row],[Counter Number]]="","",Table1[[#This Row],[New Engine Horsepower (HP):]])</f>
        <v/>
      </c>
      <c r="AS133" s="60" t="str">
        <f>IF(Table2[[#This Row],[Counter Number]]="","","NA")</f>
        <v/>
      </c>
      <c r="AT133" s="165" t="str">
        <f>IF(Table2[[#This Row],[Counter Number]]="","",Table1[[#This Row],[New Engine Cylinder Displacement (L):]]&amp;" L")</f>
        <v/>
      </c>
      <c r="AU133" s="114" t="str">
        <f>IF(Table2[[#This Row],[Counter Number]]="","",Table1[[#This Row],[New Engine Number of Cylinders:]])</f>
        <v/>
      </c>
      <c r="AV133" s="60" t="str">
        <f>IF(Table2[[#This Row],[Counter Number]]="","",Table1[[#This Row],[New Engine Family Name:]])</f>
        <v/>
      </c>
      <c r="AW13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3" s="60" t="str">
        <f>IF(Table2[[#This Row],[Counter Number]]="","","NA")</f>
        <v/>
      </c>
      <c r="AY133" s="172" t="str">
        <f>IF(Table2[[#This Row],[Counter Number]]="","",IF(Table2[[#This Row],[New Engine Fuel Type:]]="ULSD",Table1[[#This Row],[Annual Miles Traveled]]/Table1[[#This Row],[New Fuel (mpg) if Diesel]],""))</f>
        <v/>
      </c>
      <c r="AZ133" s="60"/>
      <c r="BA133" s="173" t="str">
        <f>IF(Table2[[#This Row],[Counter Number]]="","",Table2[[#This Row],[Annual Miles Traveled:]]*VLOOKUP(Table2[[#This Row],[Engine Model Year:]],EFTable[],3,FALSE))</f>
        <v/>
      </c>
      <c r="BB133" s="173" t="str">
        <f>IF(Table2[[#This Row],[Counter Number]]="","",Table2[[#This Row],[Annual Miles Traveled:]]*IF(Table2[[#This Row],[New Engine Fuel Type:]]="ULSD",VLOOKUP(Table2[[#This Row],[New Engine Model Year:]],EFTable[],3,FALSE),VLOOKUP(Table2[[#This Row],[New Engine Fuel Type:]],EFTable[],3,FALSE)))</f>
        <v/>
      </c>
      <c r="BC133" s="187" t="str">
        <f>IF(Table2[[#This Row],[Counter Number]]="","",Table2[[#This Row],[Old Bus NOx Emissions (tons/yr)]]-Table2[[#This Row],[New Bus NOx Emissions (tons/yr)]])</f>
        <v/>
      </c>
      <c r="BD133" s="188" t="str">
        <f>IF(Table2[[#This Row],[Counter Number]]="","",Table2[[#This Row],[Reduction Bus NOx Emissions (tons/yr)]]/Table2[[#This Row],[Old Bus NOx Emissions (tons/yr)]])</f>
        <v/>
      </c>
      <c r="BE133" s="175" t="str">
        <f>IF(Table2[[#This Row],[Counter Number]]="","",Table2[[#This Row],[Reduction Bus NOx Emissions (tons/yr)]]*Table2[[#This Row],[Remaining Life:]])</f>
        <v/>
      </c>
      <c r="BF133" s="189" t="str">
        <f>IF(Table2[[#This Row],[Counter Number]]="","",IF(Table2[[#This Row],[Lifetime NOx Reduction (tons)]]=0,"NA",Table2[[#This Row],[Upgrade Cost Per Unit]]/Table2[[#This Row],[Lifetime NOx Reduction (tons)]]))</f>
        <v/>
      </c>
      <c r="BG133" s="190" t="str">
        <f>IF(Table2[[#This Row],[Counter Number]]="","",Table2[[#This Row],[Annual Miles Traveled:]]*VLOOKUP(Table2[[#This Row],[Engine Model Year:]],EF!$A$2:$G$27,4,FALSE))</f>
        <v/>
      </c>
      <c r="BH133" s="173" t="str">
        <f>IF(Table2[[#This Row],[Counter Number]]="","",Table2[[#This Row],[Annual Miles Traveled:]]*IF(Table2[[#This Row],[New Engine Fuel Type:]]="ULSD",VLOOKUP(Table2[[#This Row],[New Engine Model Year:]],EFTable[],4,FALSE),VLOOKUP(Table2[[#This Row],[New Engine Fuel Type:]],EFTable[],4,FALSE)))</f>
        <v/>
      </c>
      <c r="BI133" s="191" t="str">
        <f>IF(Table2[[#This Row],[Counter Number]]="","",Table2[[#This Row],[Old Bus PM2.5 Emissions (tons/yr)]]-Table2[[#This Row],[New Bus PM2.5 Emissions (tons/yr)]])</f>
        <v/>
      </c>
      <c r="BJ133" s="192" t="str">
        <f>IF(Table2[[#This Row],[Counter Number]]="","",Table2[[#This Row],[Reduction Bus PM2.5 Emissions (tons/yr)]]/Table2[[#This Row],[Old Bus PM2.5 Emissions (tons/yr)]])</f>
        <v/>
      </c>
      <c r="BK133" s="193" t="str">
        <f>IF(Table2[[#This Row],[Counter Number]]="","",Table2[[#This Row],[Reduction Bus PM2.5 Emissions (tons/yr)]]*Table2[[#This Row],[Remaining Life:]])</f>
        <v/>
      </c>
      <c r="BL133" s="194" t="str">
        <f>IF(Table2[[#This Row],[Counter Number]]="","",IF(Table2[[#This Row],[Lifetime PM2.5 Reduction (tons)]]=0,"NA",Table2[[#This Row],[Upgrade Cost Per Unit]]/Table2[[#This Row],[Lifetime PM2.5 Reduction (tons)]]))</f>
        <v/>
      </c>
      <c r="BM133" s="179" t="str">
        <f>IF(Table2[[#This Row],[Counter Number]]="","",Table2[[#This Row],[Annual Miles Traveled:]]*VLOOKUP(Table2[[#This Row],[Engine Model Year:]],EF!$A$2:$G$40,5,FALSE))</f>
        <v/>
      </c>
      <c r="BN133" s="173" t="str">
        <f>IF(Table2[[#This Row],[Counter Number]]="","",Table2[[#This Row],[Annual Miles Traveled:]]*IF(Table2[[#This Row],[New Engine Fuel Type:]]="ULSD",VLOOKUP(Table2[[#This Row],[New Engine Model Year:]],EFTable[],5,FALSE),VLOOKUP(Table2[[#This Row],[New Engine Fuel Type:]],EFTable[],5,FALSE)))</f>
        <v/>
      </c>
      <c r="BO133" s="190" t="str">
        <f>IF(Table2[[#This Row],[Counter Number]]="","",Table2[[#This Row],[Old Bus HC Emissions (tons/yr)]]-Table2[[#This Row],[New Bus HC Emissions (tons/yr)]])</f>
        <v/>
      </c>
      <c r="BP133" s="188" t="str">
        <f>IF(Table2[[#This Row],[Counter Number]]="","",Table2[[#This Row],[Reduction Bus HC Emissions (tons/yr)]]/Table2[[#This Row],[Old Bus HC Emissions (tons/yr)]])</f>
        <v/>
      </c>
      <c r="BQ133" s="193" t="str">
        <f>IF(Table2[[#This Row],[Counter Number]]="","",Table2[[#This Row],[Reduction Bus HC Emissions (tons/yr)]]*Table2[[#This Row],[Remaining Life:]])</f>
        <v/>
      </c>
      <c r="BR133" s="194" t="str">
        <f>IF(Table2[[#This Row],[Counter Number]]="","",IF(Table2[[#This Row],[Lifetime HC Reduction (tons)]]=0,"NA",Table2[[#This Row],[Upgrade Cost Per Unit]]/Table2[[#This Row],[Lifetime HC Reduction (tons)]]))</f>
        <v/>
      </c>
      <c r="BS133" s="191" t="str">
        <f>IF(Table2[[#This Row],[Counter Number]]="","",Table2[[#This Row],[Annual Miles Traveled:]]*VLOOKUP(Table2[[#This Row],[Engine Model Year:]],EF!$A$2:$G$27,6,FALSE))</f>
        <v/>
      </c>
      <c r="BT133" s="173" t="str">
        <f>IF(Table2[[#This Row],[Counter Number]]="","",Table2[[#This Row],[Annual Miles Traveled:]]*IF(Table2[[#This Row],[New Engine Fuel Type:]]="ULSD",VLOOKUP(Table2[[#This Row],[New Engine Model Year:]],EFTable[],6,FALSE),VLOOKUP(Table2[[#This Row],[New Engine Fuel Type:]],EFTable[],6,FALSE)))</f>
        <v/>
      </c>
      <c r="BU133" s="190" t="str">
        <f>IF(Table2[[#This Row],[Counter Number]]="","",Table2[[#This Row],[Old Bus CO Emissions (tons/yr)]]-Table2[[#This Row],[New Bus CO Emissions (tons/yr)]])</f>
        <v/>
      </c>
      <c r="BV133" s="188" t="str">
        <f>IF(Table2[[#This Row],[Counter Number]]="","",Table2[[#This Row],[Reduction Bus CO Emissions (tons/yr)]]/Table2[[#This Row],[Old Bus CO Emissions (tons/yr)]])</f>
        <v/>
      </c>
      <c r="BW133" s="193" t="str">
        <f>IF(Table2[[#This Row],[Counter Number]]="","",Table2[[#This Row],[Reduction Bus CO Emissions (tons/yr)]]*Table2[[#This Row],[Remaining Life:]])</f>
        <v/>
      </c>
      <c r="BX133" s="194" t="str">
        <f>IF(Table2[[#This Row],[Counter Number]]="","",IF(Table2[[#This Row],[Lifetime CO Reduction (tons)]]=0,"NA",Table2[[#This Row],[Upgrade Cost Per Unit]]/Table2[[#This Row],[Lifetime CO Reduction (tons)]]))</f>
        <v/>
      </c>
      <c r="BY133" s="180" t="str">
        <f>IF(Table2[[#This Row],[Counter Number]]="","",Table2[[#This Row],[Old ULSD Used (gal):]]*VLOOKUP(Table2[[#This Row],[Engine Model Year:]],EF!$A$2:$G$27,7,FALSE))</f>
        <v/>
      </c>
      <c r="BZ13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3" s="195" t="str">
        <f>IF(Table2[[#This Row],[Counter Number]]="","",Table2[[#This Row],[Old Bus CO2 Emissions (tons/yr)]]-Table2[[#This Row],[New Bus CO2 Emissions (tons/yr)]])</f>
        <v/>
      </c>
      <c r="CB133" s="188" t="str">
        <f>IF(Table2[[#This Row],[Counter Number]]="","",Table2[[#This Row],[Reduction Bus CO2 Emissions (tons/yr)]]/Table2[[#This Row],[Old Bus CO2 Emissions (tons/yr)]])</f>
        <v/>
      </c>
      <c r="CC133" s="195" t="str">
        <f>IF(Table2[[#This Row],[Counter Number]]="","",Table2[[#This Row],[Reduction Bus CO2 Emissions (tons/yr)]]*Table2[[#This Row],[Remaining Life:]])</f>
        <v/>
      </c>
      <c r="CD133" s="194" t="str">
        <f>IF(Table2[[#This Row],[Counter Number]]="","",IF(Table2[[#This Row],[Lifetime CO2 Reduction (tons)]]=0,"NA",Table2[[#This Row],[Upgrade Cost Per Unit]]/Table2[[#This Row],[Lifetime CO2 Reduction (tons)]]))</f>
        <v/>
      </c>
      <c r="CE133" s="182" t="str">
        <f>IF(Table2[[#This Row],[Counter Number]]="","",IF(Table2[[#This Row],[New ULSD Used (gal):]]="",Table2[[#This Row],[Old ULSD Used (gal):]],Table2[[#This Row],[Old ULSD Used (gal):]]-Table2[[#This Row],[New ULSD Used (gal):]]))</f>
        <v/>
      </c>
      <c r="CF133" s="196" t="str">
        <f>IF(Table2[[#This Row],[Counter Number]]="","",Table2[[#This Row],[Diesel Fuel Reduction (gal/yr)]]/Table2[[#This Row],[Old ULSD Used (gal):]])</f>
        <v/>
      </c>
      <c r="CG133" s="197" t="str">
        <f>IF(Table2[[#This Row],[Counter Number]]="","",Table2[[#This Row],[Diesel Fuel Reduction (gal/yr)]]*Table2[[#This Row],[Remaining Life:]])</f>
        <v/>
      </c>
    </row>
    <row r="134" spans="1:85">
      <c r="A134" s="184" t="str">
        <f>IF(A133&lt;Application!$D$24,A133+1,"")</f>
        <v/>
      </c>
      <c r="B134" s="60" t="str">
        <f>IF(Table2[[#This Row],[Counter Number]]="","",Application!$D$16)</f>
        <v/>
      </c>
      <c r="C134" s="60" t="str">
        <f>IF(Table2[[#This Row],[Counter Number]]="","",Application!$D$14)</f>
        <v/>
      </c>
      <c r="D134" s="60" t="str">
        <f>IF(Table2[[#This Row],[Counter Number]]="","",Table1[[#This Row],[Old Bus Number]])</f>
        <v/>
      </c>
      <c r="E134" s="60" t="str">
        <f>IF(Table2[[#This Row],[Counter Number]]="","",Application!$D$15)</f>
        <v/>
      </c>
      <c r="F134" s="60" t="str">
        <f>IF(Table2[[#This Row],[Counter Number]]="","","On Highway")</f>
        <v/>
      </c>
      <c r="G134" s="60" t="str">
        <f>IF(Table2[[#This Row],[Counter Number]]="","",I134)</f>
        <v/>
      </c>
      <c r="H134" s="60" t="str">
        <f>IF(Table2[[#This Row],[Counter Number]]="","","Georgia")</f>
        <v/>
      </c>
      <c r="I134" s="60" t="str">
        <f>IF(Table2[[#This Row],[Counter Number]]="","",Application!$D$16)</f>
        <v/>
      </c>
      <c r="J134" s="60" t="str">
        <f>IF(Table2[[#This Row],[Counter Number]]="","",Application!$D$21)</f>
        <v/>
      </c>
      <c r="K134" s="60" t="str">
        <f>IF(Table2[[#This Row],[Counter Number]]="","",Application!$J$21)</f>
        <v/>
      </c>
      <c r="L134" s="60" t="str">
        <f>IF(Table2[[#This Row],[Counter Number]]="","","School Bus")</f>
        <v/>
      </c>
      <c r="M134" s="60" t="str">
        <f>IF(Table2[[#This Row],[Counter Number]]="","","School Bus")</f>
        <v/>
      </c>
      <c r="N134" s="60" t="str">
        <f>IF(Table2[[#This Row],[Counter Number]]="","",1)</f>
        <v/>
      </c>
      <c r="O134" s="60" t="str">
        <f>IF(Table2[[#This Row],[Counter Number]]="","",Table1[[#This Row],[Vehicle Identification Number(s):]])</f>
        <v/>
      </c>
      <c r="P134" s="60" t="str">
        <f>IF(Table2[[#This Row],[Counter Number]]="","",Table1[[#This Row],[Old Bus Manufacturer:]])</f>
        <v/>
      </c>
      <c r="Q134" s="60" t="str">
        <f>IF(Table2[[#This Row],[Counter Number]]="","",Table1[[#This Row],[Vehicle Model:]])</f>
        <v/>
      </c>
      <c r="R134" s="165" t="str">
        <f>IF(Table2[[#This Row],[Counter Number]]="","",Table1[[#This Row],[Vehicle Model Year:]])</f>
        <v/>
      </c>
      <c r="S134" s="60" t="str">
        <f>IF(Table2[[#This Row],[Counter Number]]="","",Table1[[#This Row],[Engine Serial Number(s):]])</f>
        <v/>
      </c>
      <c r="T134" s="60" t="str">
        <f>IF(Table2[[#This Row],[Counter Number]]="","",Table1[[#This Row],[Engine Make:]])</f>
        <v/>
      </c>
      <c r="U134" s="60" t="str">
        <f>IF(Table2[[#This Row],[Counter Number]]="","",Table1[[#This Row],[Engine Model:]])</f>
        <v/>
      </c>
      <c r="V134" s="165" t="str">
        <f>IF(Table2[[#This Row],[Counter Number]]="","",Table1[[#This Row],[Engine Model Year:]])</f>
        <v/>
      </c>
      <c r="W134" s="60" t="str">
        <f>IF(Table2[[#This Row],[Counter Number]]="","","NA")</f>
        <v/>
      </c>
      <c r="X134" s="165" t="str">
        <f>IF(Table2[[#This Row],[Counter Number]]="","",Table1[[#This Row],[Engine Horsepower (HP):]])</f>
        <v/>
      </c>
      <c r="Y134" s="165" t="str">
        <f>IF(Table2[[#This Row],[Counter Number]]="","",Table1[[#This Row],[Engine Cylinder Displacement (L):]]&amp;" L")</f>
        <v/>
      </c>
      <c r="Z134" s="165" t="str">
        <f>IF(Table2[[#This Row],[Counter Number]]="","",Table1[[#This Row],[Engine Number of Cylinders:]])</f>
        <v/>
      </c>
      <c r="AA134" s="166" t="str">
        <f>IF(Table2[[#This Row],[Counter Number]]="","",Table1[[#This Row],[Engine Family Name:]])</f>
        <v/>
      </c>
      <c r="AB134" s="60" t="str">
        <f>IF(Table2[[#This Row],[Counter Number]]="","","ULSD")</f>
        <v/>
      </c>
      <c r="AC134" s="167" t="str">
        <f>IF(Table2[[#This Row],[Counter Number]]="","",Table2[[#This Row],[Annual Miles Traveled:]]/Table1[[#This Row],[Old Fuel (mpg)]])</f>
        <v/>
      </c>
      <c r="AD134" s="60" t="str">
        <f>IF(Table2[[#This Row],[Counter Number]]="","","NA")</f>
        <v/>
      </c>
      <c r="AE134" s="168" t="str">
        <f>IF(Table2[[#This Row],[Counter Number]]="","",Table1[[#This Row],[Annual Miles Traveled]])</f>
        <v/>
      </c>
      <c r="AF134" s="169" t="str">
        <f>IF(Table2[[#This Row],[Counter Number]]="","",Table1[[#This Row],[Annual Idling Hours:]])</f>
        <v/>
      </c>
      <c r="AG134" s="60" t="str">
        <f>IF(Table2[[#This Row],[Counter Number]]="","","NA")</f>
        <v/>
      </c>
      <c r="AH134" s="165" t="str">
        <f>IF(Table2[[#This Row],[Counter Number]]="","",IF(Application!$J$25="Set Policy",Table1[[#This Row],[Remaining Life (years)         Set Policy]],Table1[[#This Row],[Remaining Life (years)               Case-by-Case]]))</f>
        <v/>
      </c>
      <c r="AI134" s="165" t="str">
        <f>IF(Table2[[#This Row],[Counter Number]]="","",IF(Application!$J$25="Case-by-Case","NA",Table2[[#This Row],[Fiscal Year of EPA Funds Used:]]+Table2[[#This Row],[Remaining Life:]]))</f>
        <v/>
      </c>
      <c r="AJ134" s="165"/>
      <c r="AK134" s="170" t="str">
        <f>IF(Table2[[#This Row],[Counter Number]]="","",Application!$D$14+1)</f>
        <v/>
      </c>
      <c r="AL134" s="60" t="str">
        <f>IF(Table2[[#This Row],[Counter Number]]="","","Vehicle Replacement")</f>
        <v/>
      </c>
      <c r="AM13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4" s="171" t="str">
        <f>IF(Table2[[#This Row],[Counter Number]]="","",Table1[[#This Row],[Cost of New Bus:]])</f>
        <v/>
      </c>
      <c r="AO134" s="60" t="str">
        <f>IF(Table2[[#This Row],[Counter Number]]="","","NA")</f>
        <v/>
      </c>
      <c r="AP134" s="165" t="str">
        <f>IF(Table2[[#This Row],[Counter Number]]="","",Table1[[#This Row],[New Engine Model Year:]])</f>
        <v/>
      </c>
      <c r="AQ134" s="60" t="str">
        <f>IF(Table2[[#This Row],[Counter Number]]="","","NA")</f>
        <v/>
      </c>
      <c r="AR134" s="165" t="str">
        <f>IF(Table2[[#This Row],[Counter Number]]="","",Table1[[#This Row],[New Engine Horsepower (HP):]])</f>
        <v/>
      </c>
      <c r="AS134" s="60" t="str">
        <f>IF(Table2[[#This Row],[Counter Number]]="","","NA")</f>
        <v/>
      </c>
      <c r="AT134" s="165" t="str">
        <f>IF(Table2[[#This Row],[Counter Number]]="","",Table1[[#This Row],[New Engine Cylinder Displacement (L):]]&amp;" L")</f>
        <v/>
      </c>
      <c r="AU134" s="114" t="str">
        <f>IF(Table2[[#This Row],[Counter Number]]="","",Table1[[#This Row],[New Engine Number of Cylinders:]])</f>
        <v/>
      </c>
      <c r="AV134" s="60" t="str">
        <f>IF(Table2[[#This Row],[Counter Number]]="","",Table1[[#This Row],[New Engine Family Name:]])</f>
        <v/>
      </c>
      <c r="AW13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4" s="60" t="str">
        <f>IF(Table2[[#This Row],[Counter Number]]="","","NA")</f>
        <v/>
      </c>
      <c r="AY134" s="172" t="str">
        <f>IF(Table2[[#This Row],[Counter Number]]="","",IF(Table2[[#This Row],[New Engine Fuel Type:]]="ULSD",Table1[[#This Row],[Annual Miles Traveled]]/Table1[[#This Row],[New Fuel (mpg) if Diesel]],""))</f>
        <v/>
      </c>
      <c r="AZ134" s="60"/>
      <c r="BA134" s="173" t="str">
        <f>IF(Table2[[#This Row],[Counter Number]]="","",Table2[[#This Row],[Annual Miles Traveled:]]*VLOOKUP(Table2[[#This Row],[Engine Model Year:]],EFTable[],3,FALSE))</f>
        <v/>
      </c>
      <c r="BB134" s="173" t="str">
        <f>IF(Table2[[#This Row],[Counter Number]]="","",Table2[[#This Row],[Annual Miles Traveled:]]*IF(Table2[[#This Row],[New Engine Fuel Type:]]="ULSD",VLOOKUP(Table2[[#This Row],[New Engine Model Year:]],EFTable[],3,FALSE),VLOOKUP(Table2[[#This Row],[New Engine Fuel Type:]],EFTable[],3,FALSE)))</f>
        <v/>
      </c>
      <c r="BC134" s="187" t="str">
        <f>IF(Table2[[#This Row],[Counter Number]]="","",Table2[[#This Row],[Old Bus NOx Emissions (tons/yr)]]-Table2[[#This Row],[New Bus NOx Emissions (tons/yr)]])</f>
        <v/>
      </c>
      <c r="BD134" s="188" t="str">
        <f>IF(Table2[[#This Row],[Counter Number]]="","",Table2[[#This Row],[Reduction Bus NOx Emissions (tons/yr)]]/Table2[[#This Row],[Old Bus NOx Emissions (tons/yr)]])</f>
        <v/>
      </c>
      <c r="BE134" s="175" t="str">
        <f>IF(Table2[[#This Row],[Counter Number]]="","",Table2[[#This Row],[Reduction Bus NOx Emissions (tons/yr)]]*Table2[[#This Row],[Remaining Life:]])</f>
        <v/>
      </c>
      <c r="BF134" s="189" t="str">
        <f>IF(Table2[[#This Row],[Counter Number]]="","",IF(Table2[[#This Row],[Lifetime NOx Reduction (tons)]]=0,"NA",Table2[[#This Row],[Upgrade Cost Per Unit]]/Table2[[#This Row],[Lifetime NOx Reduction (tons)]]))</f>
        <v/>
      </c>
      <c r="BG134" s="190" t="str">
        <f>IF(Table2[[#This Row],[Counter Number]]="","",Table2[[#This Row],[Annual Miles Traveled:]]*VLOOKUP(Table2[[#This Row],[Engine Model Year:]],EF!$A$2:$G$27,4,FALSE))</f>
        <v/>
      </c>
      <c r="BH134" s="173" t="str">
        <f>IF(Table2[[#This Row],[Counter Number]]="","",Table2[[#This Row],[Annual Miles Traveled:]]*IF(Table2[[#This Row],[New Engine Fuel Type:]]="ULSD",VLOOKUP(Table2[[#This Row],[New Engine Model Year:]],EFTable[],4,FALSE),VLOOKUP(Table2[[#This Row],[New Engine Fuel Type:]],EFTable[],4,FALSE)))</f>
        <v/>
      </c>
      <c r="BI134" s="191" t="str">
        <f>IF(Table2[[#This Row],[Counter Number]]="","",Table2[[#This Row],[Old Bus PM2.5 Emissions (tons/yr)]]-Table2[[#This Row],[New Bus PM2.5 Emissions (tons/yr)]])</f>
        <v/>
      </c>
      <c r="BJ134" s="192" t="str">
        <f>IF(Table2[[#This Row],[Counter Number]]="","",Table2[[#This Row],[Reduction Bus PM2.5 Emissions (tons/yr)]]/Table2[[#This Row],[Old Bus PM2.5 Emissions (tons/yr)]])</f>
        <v/>
      </c>
      <c r="BK134" s="193" t="str">
        <f>IF(Table2[[#This Row],[Counter Number]]="","",Table2[[#This Row],[Reduction Bus PM2.5 Emissions (tons/yr)]]*Table2[[#This Row],[Remaining Life:]])</f>
        <v/>
      </c>
      <c r="BL134" s="194" t="str">
        <f>IF(Table2[[#This Row],[Counter Number]]="","",IF(Table2[[#This Row],[Lifetime PM2.5 Reduction (tons)]]=0,"NA",Table2[[#This Row],[Upgrade Cost Per Unit]]/Table2[[#This Row],[Lifetime PM2.5 Reduction (tons)]]))</f>
        <v/>
      </c>
      <c r="BM134" s="179" t="str">
        <f>IF(Table2[[#This Row],[Counter Number]]="","",Table2[[#This Row],[Annual Miles Traveled:]]*VLOOKUP(Table2[[#This Row],[Engine Model Year:]],EF!$A$2:$G$40,5,FALSE))</f>
        <v/>
      </c>
      <c r="BN134" s="173" t="str">
        <f>IF(Table2[[#This Row],[Counter Number]]="","",Table2[[#This Row],[Annual Miles Traveled:]]*IF(Table2[[#This Row],[New Engine Fuel Type:]]="ULSD",VLOOKUP(Table2[[#This Row],[New Engine Model Year:]],EFTable[],5,FALSE),VLOOKUP(Table2[[#This Row],[New Engine Fuel Type:]],EFTable[],5,FALSE)))</f>
        <v/>
      </c>
      <c r="BO134" s="190" t="str">
        <f>IF(Table2[[#This Row],[Counter Number]]="","",Table2[[#This Row],[Old Bus HC Emissions (tons/yr)]]-Table2[[#This Row],[New Bus HC Emissions (tons/yr)]])</f>
        <v/>
      </c>
      <c r="BP134" s="188" t="str">
        <f>IF(Table2[[#This Row],[Counter Number]]="","",Table2[[#This Row],[Reduction Bus HC Emissions (tons/yr)]]/Table2[[#This Row],[Old Bus HC Emissions (tons/yr)]])</f>
        <v/>
      </c>
      <c r="BQ134" s="193" t="str">
        <f>IF(Table2[[#This Row],[Counter Number]]="","",Table2[[#This Row],[Reduction Bus HC Emissions (tons/yr)]]*Table2[[#This Row],[Remaining Life:]])</f>
        <v/>
      </c>
      <c r="BR134" s="194" t="str">
        <f>IF(Table2[[#This Row],[Counter Number]]="","",IF(Table2[[#This Row],[Lifetime HC Reduction (tons)]]=0,"NA",Table2[[#This Row],[Upgrade Cost Per Unit]]/Table2[[#This Row],[Lifetime HC Reduction (tons)]]))</f>
        <v/>
      </c>
      <c r="BS134" s="191" t="str">
        <f>IF(Table2[[#This Row],[Counter Number]]="","",Table2[[#This Row],[Annual Miles Traveled:]]*VLOOKUP(Table2[[#This Row],[Engine Model Year:]],EF!$A$2:$G$27,6,FALSE))</f>
        <v/>
      </c>
      <c r="BT134" s="173" t="str">
        <f>IF(Table2[[#This Row],[Counter Number]]="","",Table2[[#This Row],[Annual Miles Traveled:]]*IF(Table2[[#This Row],[New Engine Fuel Type:]]="ULSD",VLOOKUP(Table2[[#This Row],[New Engine Model Year:]],EFTable[],6,FALSE),VLOOKUP(Table2[[#This Row],[New Engine Fuel Type:]],EFTable[],6,FALSE)))</f>
        <v/>
      </c>
      <c r="BU134" s="190" t="str">
        <f>IF(Table2[[#This Row],[Counter Number]]="","",Table2[[#This Row],[Old Bus CO Emissions (tons/yr)]]-Table2[[#This Row],[New Bus CO Emissions (tons/yr)]])</f>
        <v/>
      </c>
      <c r="BV134" s="188" t="str">
        <f>IF(Table2[[#This Row],[Counter Number]]="","",Table2[[#This Row],[Reduction Bus CO Emissions (tons/yr)]]/Table2[[#This Row],[Old Bus CO Emissions (tons/yr)]])</f>
        <v/>
      </c>
      <c r="BW134" s="193" t="str">
        <f>IF(Table2[[#This Row],[Counter Number]]="","",Table2[[#This Row],[Reduction Bus CO Emissions (tons/yr)]]*Table2[[#This Row],[Remaining Life:]])</f>
        <v/>
      </c>
      <c r="BX134" s="194" t="str">
        <f>IF(Table2[[#This Row],[Counter Number]]="","",IF(Table2[[#This Row],[Lifetime CO Reduction (tons)]]=0,"NA",Table2[[#This Row],[Upgrade Cost Per Unit]]/Table2[[#This Row],[Lifetime CO Reduction (tons)]]))</f>
        <v/>
      </c>
      <c r="BY134" s="180" t="str">
        <f>IF(Table2[[#This Row],[Counter Number]]="","",Table2[[#This Row],[Old ULSD Used (gal):]]*VLOOKUP(Table2[[#This Row],[Engine Model Year:]],EF!$A$2:$G$27,7,FALSE))</f>
        <v/>
      </c>
      <c r="BZ13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4" s="195" t="str">
        <f>IF(Table2[[#This Row],[Counter Number]]="","",Table2[[#This Row],[Old Bus CO2 Emissions (tons/yr)]]-Table2[[#This Row],[New Bus CO2 Emissions (tons/yr)]])</f>
        <v/>
      </c>
      <c r="CB134" s="188" t="str">
        <f>IF(Table2[[#This Row],[Counter Number]]="","",Table2[[#This Row],[Reduction Bus CO2 Emissions (tons/yr)]]/Table2[[#This Row],[Old Bus CO2 Emissions (tons/yr)]])</f>
        <v/>
      </c>
      <c r="CC134" s="195" t="str">
        <f>IF(Table2[[#This Row],[Counter Number]]="","",Table2[[#This Row],[Reduction Bus CO2 Emissions (tons/yr)]]*Table2[[#This Row],[Remaining Life:]])</f>
        <v/>
      </c>
      <c r="CD134" s="194" t="str">
        <f>IF(Table2[[#This Row],[Counter Number]]="","",IF(Table2[[#This Row],[Lifetime CO2 Reduction (tons)]]=0,"NA",Table2[[#This Row],[Upgrade Cost Per Unit]]/Table2[[#This Row],[Lifetime CO2 Reduction (tons)]]))</f>
        <v/>
      </c>
      <c r="CE134" s="182" t="str">
        <f>IF(Table2[[#This Row],[Counter Number]]="","",IF(Table2[[#This Row],[New ULSD Used (gal):]]="",Table2[[#This Row],[Old ULSD Used (gal):]],Table2[[#This Row],[Old ULSD Used (gal):]]-Table2[[#This Row],[New ULSD Used (gal):]]))</f>
        <v/>
      </c>
      <c r="CF134" s="196" t="str">
        <f>IF(Table2[[#This Row],[Counter Number]]="","",Table2[[#This Row],[Diesel Fuel Reduction (gal/yr)]]/Table2[[#This Row],[Old ULSD Used (gal):]])</f>
        <v/>
      </c>
      <c r="CG134" s="197" t="str">
        <f>IF(Table2[[#This Row],[Counter Number]]="","",Table2[[#This Row],[Diesel Fuel Reduction (gal/yr)]]*Table2[[#This Row],[Remaining Life:]])</f>
        <v/>
      </c>
    </row>
    <row r="135" spans="1:85">
      <c r="A135" s="184" t="str">
        <f>IF(A134&lt;Application!$D$24,A134+1,"")</f>
        <v/>
      </c>
      <c r="B135" s="60" t="str">
        <f>IF(Table2[[#This Row],[Counter Number]]="","",Application!$D$16)</f>
        <v/>
      </c>
      <c r="C135" s="60" t="str">
        <f>IF(Table2[[#This Row],[Counter Number]]="","",Application!$D$14)</f>
        <v/>
      </c>
      <c r="D135" s="60" t="str">
        <f>IF(Table2[[#This Row],[Counter Number]]="","",Table1[[#This Row],[Old Bus Number]])</f>
        <v/>
      </c>
      <c r="E135" s="60" t="str">
        <f>IF(Table2[[#This Row],[Counter Number]]="","",Application!$D$15)</f>
        <v/>
      </c>
      <c r="F135" s="60" t="str">
        <f>IF(Table2[[#This Row],[Counter Number]]="","","On Highway")</f>
        <v/>
      </c>
      <c r="G135" s="60" t="str">
        <f>IF(Table2[[#This Row],[Counter Number]]="","",I135)</f>
        <v/>
      </c>
      <c r="H135" s="60" t="str">
        <f>IF(Table2[[#This Row],[Counter Number]]="","","Georgia")</f>
        <v/>
      </c>
      <c r="I135" s="60" t="str">
        <f>IF(Table2[[#This Row],[Counter Number]]="","",Application!$D$16)</f>
        <v/>
      </c>
      <c r="J135" s="60" t="str">
        <f>IF(Table2[[#This Row],[Counter Number]]="","",Application!$D$21)</f>
        <v/>
      </c>
      <c r="K135" s="60" t="str">
        <f>IF(Table2[[#This Row],[Counter Number]]="","",Application!$J$21)</f>
        <v/>
      </c>
      <c r="L135" s="60" t="str">
        <f>IF(Table2[[#This Row],[Counter Number]]="","","School Bus")</f>
        <v/>
      </c>
      <c r="M135" s="60" t="str">
        <f>IF(Table2[[#This Row],[Counter Number]]="","","School Bus")</f>
        <v/>
      </c>
      <c r="N135" s="60" t="str">
        <f>IF(Table2[[#This Row],[Counter Number]]="","",1)</f>
        <v/>
      </c>
      <c r="O135" s="60" t="str">
        <f>IF(Table2[[#This Row],[Counter Number]]="","",Table1[[#This Row],[Vehicle Identification Number(s):]])</f>
        <v/>
      </c>
      <c r="P135" s="60" t="str">
        <f>IF(Table2[[#This Row],[Counter Number]]="","",Table1[[#This Row],[Old Bus Manufacturer:]])</f>
        <v/>
      </c>
      <c r="Q135" s="60" t="str">
        <f>IF(Table2[[#This Row],[Counter Number]]="","",Table1[[#This Row],[Vehicle Model:]])</f>
        <v/>
      </c>
      <c r="R135" s="165" t="str">
        <f>IF(Table2[[#This Row],[Counter Number]]="","",Table1[[#This Row],[Vehicle Model Year:]])</f>
        <v/>
      </c>
      <c r="S135" s="60" t="str">
        <f>IF(Table2[[#This Row],[Counter Number]]="","",Table1[[#This Row],[Engine Serial Number(s):]])</f>
        <v/>
      </c>
      <c r="T135" s="60" t="str">
        <f>IF(Table2[[#This Row],[Counter Number]]="","",Table1[[#This Row],[Engine Make:]])</f>
        <v/>
      </c>
      <c r="U135" s="60" t="str">
        <f>IF(Table2[[#This Row],[Counter Number]]="","",Table1[[#This Row],[Engine Model:]])</f>
        <v/>
      </c>
      <c r="V135" s="165" t="str">
        <f>IF(Table2[[#This Row],[Counter Number]]="","",Table1[[#This Row],[Engine Model Year:]])</f>
        <v/>
      </c>
      <c r="W135" s="60" t="str">
        <f>IF(Table2[[#This Row],[Counter Number]]="","","NA")</f>
        <v/>
      </c>
      <c r="X135" s="165" t="str">
        <f>IF(Table2[[#This Row],[Counter Number]]="","",Table1[[#This Row],[Engine Horsepower (HP):]])</f>
        <v/>
      </c>
      <c r="Y135" s="165" t="str">
        <f>IF(Table2[[#This Row],[Counter Number]]="","",Table1[[#This Row],[Engine Cylinder Displacement (L):]]&amp;" L")</f>
        <v/>
      </c>
      <c r="Z135" s="165" t="str">
        <f>IF(Table2[[#This Row],[Counter Number]]="","",Table1[[#This Row],[Engine Number of Cylinders:]])</f>
        <v/>
      </c>
      <c r="AA135" s="166" t="str">
        <f>IF(Table2[[#This Row],[Counter Number]]="","",Table1[[#This Row],[Engine Family Name:]])</f>
        <v/>
      </c>
      <c r="AB135" s="60" t="str">
        <f>IF(Table2[[#This Row],[Counter Number]]="","","ULSD")</f>
        <v/>
      </c>
      <c r="AC135" s="167" t="str">
        <f>IF(Table2[[#This Row],[Counter Number]]="","",Table2[[#This Row],[Annual Miles Traveled:]]/Table1[[#This Row],[Old Fuel (mpg)]])</f>
        <v/>
      </c>
      <c r="AD135" s="60" t="str">
        <f>IF(Table2[[#This Row],[Counter Number]]="","","NA")</f>
        <v/>
      </c>
      <c r="AE135" s="168" t="str">
        <f>IF(Table2[[#This Row],[Counter Number]]="","",Table1[[#This Row],[Annual Miles Traveled]])</f>
        <v/>
      </c>
      <c r="AF135" s="169" t="str">
        <f>IF(Table2[[#This Row],[Counter Number]]="","",Table1[[#This Row],[Annual Idling Hours:]])</f>
        <v/>
      </c>
      <c r="AG135" s="60" t="str">
        <f>IF(Table2[[#This Row],[Counter Number]]="","","NA")</f>
        <v/>
      </c>
      <c r="AH135" s="165" t="str">
        <f>IF(Table2[[#This Row],[Counter Number]]="","",IF(Application!$J$25="Set Policy",Table1[[#This Row],[Remaining Life (years)         Set Policy]],Table1[[#This Row],[Remaining Life (years)               Case-by-Case]]))</f>
        <v/>
      </c>
      <c r="AI135" s="165" t="str">
        <f>IF(Table2[[#This Row],[Counter Number]]="","",IF(Application!$J$25="Case-by-Case","NA",Table2[[#This Row],[Fiscal Year of EPA Funds Used:]]+Table2[[#This Row],[Remaining Life:]]))</f>
        <v/>
      </c>
      <c r="AJ135" s="165"/>
      <c r="AK135" s="170" t="str">
        <f>IF(Table2[[#This Row],[Counter Number]]="","",Application!$D$14+1)</f>
        <v/>
      </c>
      <c r="AL135" s="60" t="str">
        <f>IF(Table2[[#This Row],[Counter Number]]="","","Vehicle Replacement")</f>
        <v/>
      </c>
      <c r="AM13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5" s="171" t="str">
        <f>IF(Table2[[#This Row],[Counter Number]]="","",Table1[[#This Row],[Cost of New Bus:]])</f>
        <v/>
      </c>
      <c r="AO135" s="60" t="str">
        <f>IF(Table2[[#This Row],[Counter Number]]="","","NA")</f>
        <v/>
      </c>
      <c r="AP135" s="165" t="str">
        <f>IF(Table2[[#This Row],[Counter Number]]="","",Table1[[#This Row],[New Engine Model Year:]])</f>
        <v/>
      </c>
      <c r="AQ135" s="60" t="str">
        <f>IF(Table2[[#This Row],[Counter Number]]="","","NA")</f>
        <v/>
      </c>
      <c r="AR135" s="165" t="str">
        <f>IF(Table2[[#This Row],[Counter Number]]="","",Table1[[#This Row],[New Engine Horsepower (HP):]])</f>
        <v/>
      </c>
      <c r="AS135" s="60" t="str">
        <f>IF(Table2[[#This Row],[Counter Number]]="","","NA")</f>
        <v/>
      </c>
      <c r="AT135" s="165" t="str">
        <f>IF(Table2[[#This Row],[Counter Number]]="","",Table1[[#This Row],[New Engine Cylinder Displacement (L):]]&amp;" L")</f>
        <v/>
      </c>
      <c r="AU135" s="114" t="str">
        <f>IF(Table2[[#This Row],[Counter Number]]="","",Table1[[#This Row],[New Engine Number of Cylinders:]])</f>
        <v/>
      </c>
      <c r="AV135" s="60" t="str">
        <f>IF(Table2[[#This Row],[Counter Number]]="","",Table1[[#This Row],[New Engine Family Name:]])</f>
        <v/>
      </c>
      <c r="AW13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5" s="60" t="str">
        <f>IF(Table2[[#This Row],[Counter Number]]="","","NA")</f>
        <v/>
      </c>
      <c r="AY135" s="172" t="str">
        <f>IF(Table2[[#This Row],[Counter Number]]="","",IF(Table2[[#This Row],[New Engine Fuel Type:]]="ULSD",Table1[[#This Row],[Annual Miles Traveled]]/Table1[[#This Row],[New Fuel (mpg) if Diesel]],""))</f>
        <v/>
      </c>
      <c r="AZ135" s="60"/>
      <c r="BA135" s="173" t="str">
        <f>IF(Table2[[#This Row],[Counter Number]]="","",Table2[[#This Row],[Annual Miles Traveled:]]*VLOOKUP(Table2[[#This Row],[Engine Model Year:]],EFTable[],3,FALSE))</f>
        <v/>
      </c>
      <c r="BB135" s="173" t="str">
        <f>IF(Table2[[#This Row],[Counter Number]]="","",Table2[[#This Row],[Annual Miles Traveled:]]*IF(Table2[[#This Row],[New Engine Fuel Type:]]="ULSD",VLOOKUP(Table2[[#This Row],[New Engine Model Year:]],EFTable[],3,FALSE),VLOOKUP(Table2[[#This Row],[New Engine Fuel Type:]],EFTable[],3,FALSE)))</f>
        <v/>
      </c>
      <c r="BC135" s="187" t="str">
        <f>IF(Table2[[#This Row],[Counter Number]]="","",Table2[[#This Row],[Old Bus NOx Emissions (tons/yr)]]-Table2[[#This Row],[New Bus NOx Emissions (tons/yr)]])</f>
        <v/>
      </c>
      <c r="BD135" s="188" t="str">
        <f>IF(Table2[[#This Row],[Counter Number]]="","",Table2[[#This Row],[Reduction Bus NOx Emissions (tons/yr)]]/Table2[[#This Row],[Old Bus NOx Emissions (tons/yr)]])</f>
        <v/>
      </c>
      <c r="BE135" s="175" t="str">
        <f>IF(Table2[[#This Row],[Counter Number]]="","",Table2[[#This Row],[Reduction Bus NOx Emissions (tons/yr)]]*Table2[[#This Row],[Remaining Life:]])</f>
        <v/>
      </c>
      <c r="BF135" s="189" t="str">
        <f>IF(Table2[[#This Row],[Counter Number]]="","",IF(Table2[[#This Row],[Lifetime NOx Reduction (tons)]]=0,"NA",Table2[[#This Row],[Upgrade Cost Per Unit]]/Table2[[#This Row],[Lifetime NOx Reduction (tons)]]))</f>
        <v/>
      </c>
      <c r="BG135" s="190" t="str">
        <f>IF(Table2[[#This Row],[Counter Number]]="","",Table2[[#This Row],[Annual Miles Traveled:]]*VLOOKUP(Table2[[#This Row],[Engine Model Year:]],EF!$A$2:$G$27,4,FALSE))</f>
        <v/>
      </c>
      <c r="BH135" s="173" t="str">
        <f>IF(Table2[[#This Row],[Counter Number]]="","",Table2[[#This Row],[Annual Miles Traveled:]]*IF(Table2[[#This Row],[New Engine Fuel Type:]]="ULSD",VLOOKUP(Table2[[#This Row],[New Engine Model Year:]],EFTable[],4,FALSE),VLOOKUP(Table2[[#This Row],[New Engine Fuel Type:]],EFTable[],4,FALSE)))</f>
        <v/>
      </c>
      <c r="BI135" s="191" t="str">
        <f>IF(Table2[[#This Row],[Counter Number]]="","",Table2[[#This Row],[Old Bus PM2.5 Emissions (tons/yr)]]-Table2[[#This Row],[New Bus PM2.5 Emissions (tons/yr)]])</f>
        <v/>
      </c>
      <c r="BJ135" s="192" t="str">
        <f>IF(Table2[[#This Row],[Counter Number]]="","",Table2[[#This Row],[Reduction Bus PM2.5 Emissions (tons/yr)]]/Table2[[#This Row],[Old Bus PM2.5 Emissions (tons/yr)]])</f>
        <v/>
      </c>
      <c r="BK135" s="193" t="str">
        <f>IF(Table2[[#This Row],[Counter Number]]="","",Table2[[#This Row],[Reduction Bus PM2.5 Emissions (tons/yr)]]*Table2[[#This Row],[Remaining Life:]])</f>
        <v/>
      </c>
      <c r="BL135" s="194" t="str">
        <f>IF(Table2[[#This Row],[Counter Number]]="","",IF(Table2[[#This Row],[Lifetime PM2.5 Reduction (tons)]]=0,"NA",Table2[[#This Row],[Upgrade Cost Per Unit]]/Table2[[#This Row],[Lifetime PM2.5 Reduction (tons)]]))</f>
        <v/>
      </c>
      <c r="BM135" s="179" t="str">
        <f>IF(Table2[[#This Row],[Counter Number]]="","",Table2[[#This Row],[Annual Miles Traveled:]]*VLOOKUP(Table2[[#This Row],[Engine Model Year:]],EF!$A$2:$G$40,5,FALSE))</f>
        <v/>
      </c>
      <c r="BN135" s="173" t="str">
        <f>IF(Table2[[#This Row],[Counter Number]]="","",Table2[[#This Row],[Annual Miles Traveled:]]*IF(Table2[[#This Row],[New Engine Fuel Type:]]="ULSD",VLOOKUP(Table2[[#This Row],[New Engine Model Year:]],EFTable[],5,FALSE),VLOOKUP(Table2[[#This Row],[New Engine Fuel Type:]],EFTable[],5,FALSE)))</f>
        <v/>
      </c>
      <c r="BO135" s="190" t="str">
        <f>IF(Table2[[#This Row],[Counter Number]]="","",Table2[[#This Row],[Old Bus HC Emissions (tons/yr)]]-Table2[[#This Row],[New Bus HC Emissions (tons/yr)]])</f>
        <v/>
      </c>
      <c r="BP135" s="188" t="str">
        <f>IF(Table2[[#This Row],[Counter Number]]="","",Table2[[#This Row],[Reduction Bus HC Emissions (tons/yr)]]/Table2[[#This Row],[Old Bus HC Emissions (tons/yr)]])</f>
        <v/>
      </c>
      <c r="BQ135" s="193" t="str">
        <f>IF(Table2[[#This Row],[Counter Number]]="","",Table2[[#This Row],[Reduction Bus HC Emissions (tons/yr)]]*Table2[[#This Row],[Remaining Life:]])</f>
        <v/>
      </c>
      <c r="BR135" s="194" t="str">
        <f>IF(Table2[[#This Row],[Counter Number]]="","",IF(Table2[[#This Row],[Lifetime HC Reduction (tons)]]=0,"NA",Table2[[#This Row],[Upgrade Cost Per Unit]]/Table2[[#This Row],[Lifetime HC Reduction (tons)]]))</f>
        <v/>
      </c>
      <c r="BS135" s="191" t="str">
        <f>IF(Table2[[#This Row],[Counter Number]]="","",Table2[[#This Row],[Annual Miles Traveled:]]*VLOOKUP(Table2[[#This Row],[Engine Model Year:]],EF!$A$2:$G$27,6,FALSE))</f>
        <v/>
      </c>
      <c r="BT135" s="173" t="str">
        <f>IF(Table2[[#This Row],[Counter Number]]="","",Table2[[#This Row],[Annual Miles Traveled:]]*IF(Table2[[#This Row],[New Engine Fuel Type:]]="ULSD",VLOOKUP(Table2[[#This Row],[New Engine Model Year:]],EFTable[],6,FALSE),VLOOKUP(Table2[[#This Row],[New Engine Fuel Type:]],EFTable[],6,FALSE)))</f>
        <v/>
      </c>
      <c r="BU135" s="190" t="str">
        <f>IF(Table2[[#This Row],[Counter Number]]="","",Table2[[#This Row],[Old Bus CO Emissions (tons/yr)]]-Table2[[#This Row],[New Bus CO Emissions (tons/yr)]])</f>
        <v/>
      </c>
      <c r="BV135" s="188" t="str">
        <f>IF(Table2[[#This Row],[Counter Number]]="","",Table2[[#This Row],[Reduction Bus CO Emissions (tons/yr)]]/Table2[[#This Row],[Old Bus CO Emissions (tons/yr)]])</f>
        <v/>
      </c>
      <c r="BW135" s="193" t="str">
        <f>IF(Table2[[#This Row],[Counter Number]]="","",Table2[[#This Row],[Reduction Bus CO Emissions (tons/yr)]]*Table2[[#This Row],[Remaining Life:]])</f>
        <v/>
      </c>
      <c r="BX135" s="194" t="str">
        <f>IF(Table2[[#This Row],[Counter Number]]="","",IF(Table2[[#This Row],[Lifetime CO Reduction (tons)]]=0,"NA",Table2[[#This Row],[Upgrade Cost Per Unit]]/Table2[[#This Row],[Lifetime CO Reduction (tons)]]))</f>
        <v/>
      </c>
      <c r="BY135" s="180" t="str">
        <f>IF(Table2[[#This Row],[Counter Number]]="","",Table2[[#This Row],[Old ULSD Used (gal):]]*VLOOKUP(Table2[[#This Row],[Engine Model Year:]],EF!$A$2:$G$27,7,FALSE))</f>
        <v/>
      </c>
      <c r="BZ13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5" s="195" t="str">
        <f>IF(Table2[[#This Row],[Counter Number]]="","",Table2[[#This Row],[Old Bus CO2 Emissions (tons/yr)]]-Table2[[#This Row],[New Bus CO2 Emissions (tons/yr)]])</f>
        <v/>
      </c>
      <c r="CB135" s="188" t="str">
        <f>IF(Table2[[#This Row],[Counter Number]]="","",Table2[[#This Row],[Reduction Bus CO2 Emissions (tons/yr)]]/Table2[[#This Row],[Old Bus CO2 Emissions (tons/yr)]])</f>
        <v/>
      </c>
      <c r="CC135" s="195" t="str">
        <f>IF(Table2[[#This Row],[Counter Number]]="","",Table2[[#This Row],[Reduction Bus CO2 Emissions (tons/yr)]]*Table2[[#This Row],[Remaining Life:]])</f>
        <v/>
      </c>
      <c r="CD135" s="194" t="str">
        <f>IF(Table2[[#This Row],[Counter Number]]="","",IF(Table2[[#This Row],[Lifetime CO2 Reduction (tons)]]=0,"NA",Table2[[#This Row],[Upgrade Cost Per Unit]]/Table2[[#This Row],[Lifetime CO2 Reduction (tons)]]))</f>
        <v/>
      </c>
      <c r="CE135" s="182" t="str">
        <f>IF(Table2[[#This Row],[Counter Number]]="","",IF(Table2[[#This Row],[New ULSD Used (gal):]]="",Table2[[#This Row],[Old ULSD Used (gal):]],Table2[[#This Row],[Old ULSD Used (gal):]]-Table2[[#This Row],[New ULSD Used (gal):]]))</f>
        <v/>
      </c>
      <c r="CF135" s="196" t="str">
        <f>IF(Table2[[#This Row],[Counter Number]]="","",Table2[[#This Row],[Diesel Fuel Reduction (gal/yr)]]/Table2[[#This Row],[Old ULSD Used (gal):]])</f>
        <v/>
      </c>
      <c r="CG135" s="197" t="str">
        <f>IF(Table2[[#This Row],[Counter Number]]="","",Table2[[#This Row],[Diesel Fuel Reduction (gal/yr)]]*Table2[[#This Row],[Remaining Life:]])</f>
        <v/>
      </c>
    </row>
    <row r="136" spans="1:85">
      <c r="A136" s="184" t="str">
        <f>IF(A135&lt;Application!$D$24,A135+1,"")</f>
        <v/>
      </c>
      <c r="B136" s="60" t="str">
        <f>IF(Table2[[#This Row],[Counter Number]]="","",Application!$D$16)</f>
        <v/>
      </c>
      <c r="C136" s="60" t="str">
        <f>IF(Table2[[#This Row],[Counter Number]]="","",Application!$D$14)</f>
        <v/>
      </c>
      <c r="D136" s="60" t="str">
        <f>IF(Table2[[#This Row],[Counter Number]]="","",Table1[[#This Row],[Old Bus Number]])</f>
        <v/>
      </c>
      <c r="E136" s="60" t="str">
        <f>IF(Table2[[#This Row],[Counter Number]]="","",Application!$D$15)</f>
        <v/>
      </c>
      <c r="F136" s="60" t="str">
        <f>IF(Table2[[#This Row],[Counter Number]]="","","On Highway")</f>
        <v/>
      </c>
      <c r="G136" s="60" t="str">
        <f>IF(Table2[[#This Row],[Counter Number]]="","",I136)</f>
        <v/>
      </c>
      <c r="H136" s="60" t="str">
        <f>IF(Table2[[#This Row],[Counter Number]]="","","Georgia")</f>
        <v/>
      </c>
      <c r="I136" s="60" t="str">
        <f>IF(Table2[[#This Row],[Counter Number]]="","",Application!$D$16)</f>
        <v/>
      </c>
      <c r="J136" s="60" t="str">
        <f>IF(Table2[[#This Row],[Counter Number]]="","",Application!$D$21)</f>
        <v/>
      </c>
      <c r="K136" s="60" t="str">
        <f>IF(Table2[[#This Row],[Counter Number]]="","",Application!$J$21)</f>
        <v/>
      </c>
      <c r="L136" s="60" t="str">
        <f>IF(Table2[[#This Row],[Counter Number]]="","","School Bus")</f>
        <v/>
      </c>
      <c r="M136" s="60" t="str">
        <f>IF(Table2[[#This Row],[Counter Number]]="","","School Bus")</f>
        <v/>
      </c>
      <c r="N136" s="60" t="str">
        <f>IF(Table2[[#This Row],[Counter Number]]="","",1)</f>
        <v/>
      </c>
      <c r="O136" s="60" t="str">
        <f>IF(Table2[[#This Row],[Counter Number]]="","",Table1[[#This Row],[Vehicle Identification Number(s):]])</f>
        <v/>
      </c>
      <c r="P136" s="60" t="str">
        <f>IF(Table2[[#This Row],[Counter Number]]="","",Table1[[#This Row],[Old Bus Manufacturer:]])</f>
        <v/>
      </c>
      <c r="Q136" s="60" t="str">
        <f>IF(Table2[[#This Row],[Counter Number]]="","",Table1[[#This Row],[Vehicle Model:]])</f>
        <v/>
      </c>
      <c r="R136" s="165" t="str">
        <f>IF(Table2[[#This Row],[Counter Number]]="","",Table1[[#This Row],[Vehicle Model Year:]])</f>
        <v/>
      </c>
      <c r="S136" s="60" t="str">
        <f>IF(Table2[[#This Row],[Counter Number]]="","",Table1[[#This Row],[Engine Serial Number(s):]])</f>
        <v/>
      </c>
      <c r="T136" s="60" t="str">
        <f>IF(Table2[[#This Row],[Counter Number]]="","",Table1[[#This Row],[Engine Make:]])</f>
        <v/>
      </c>
      <c r="U136" s="60" t="str">
        <f>IF(Table2[[#This Row],[Counter Number]]="","",Table1[[#This Row],[Engine Model:]])</f>
        <v/>
      </c>
      <c r="V136" s="165" t="str">
        <f>IF(Table2[[#This Row],[Counter Number]]="","",Table1[[#This Row],[Engine Model Year:]])</f>
        <v/>
      </c>
      <c r="W136" s="60" t="str">
        <f>IF(Table2[[#This Row],[Counter Number]]="","","NA")</f>
        <v/>
      </c>
      <c r="X136" s="165" t="str">
        <f>IF(Table2[[#This Row],[Counter Number]]="","",Table1[[#This Row],[Engine Horsepower (HP):]])</f>
        <v/>
      </c>
      <c r="Y136" s="165" t="str">
        <f>IF(Table2[[#This Row],[Counter Number]]="","",Table1[[#This Row],[Engine Cylinder Displacement (L):]]&amp;" L")</f>
        <v/>
      </c>
      <c r="Z136" s="165" t="str">
        <f>IF(Table2[[#This Row],[Counter Number]]="","",Table1[[#This Row],[Engine Number of Cylinders:]])</f>
        <v/>
      </c>
      <c r="AA136" s="166" t="str">
        <f>IF(Table2[[#This Row],[Counter Number]]="","",Table1[[#This Row],[Engine Family Name:]])</f>
        <v/>
      </c>
      <c r="AB136" s="60" t="str">
        <f>IF(Table2[[#This Row],[Counter Number]]="","","ULSD")</f>
        <v/>
      </c>
      <c r="AC136" s="167" t="str">
        <f>IF(Table2[[#This Row],[Counter Number]]="","",Table2[[#This Row],[Annual Miles Traveled:]]/Table1[[#This Row],[Old Fuel (mpg)]])</f>
        <v/>
      </c>
      <c r="AD136" s="60" t="str">
        <f>IF(Table2[[#This Row],[Counter Number]]="","","NA")</f>
        <v/>
      </c>
      <c r="AE136" s="168" t="str">
        <f>IF(Table2[[#This Row],[Counter Number]]="","",Table1[[#This Row],[Annual Miles Traveled]])</f>
        <v/>
      </c>
      <c r="AF136" s="169" t="str">
        <f>IF(Table2[[#This Row],[Counter Number]]="","",Table1[[#This Row],[Annual Idling Hours:]])</f>
        <v/>
      </c>
      <c r="AG136" s="60" t="str">
        <f>IF(Table2[[#This Row],[Counter Number]]="","","NA")</f>
        <v/>
      </c>
      <c r="AH136" s="165" t="str">
        <f>IF(Table2[[#This Row],[Counter Number]]="","",IF(Application!$J$25="Set Policy",Table1[[#This Row],[Remaining Life (years)         Set Policy]],Table1[[#This Row],[Remaining Life (years)               Case-by-Case]]))</f>
        <v/>
      </c>
      <c r="AI136" s="165" t="str">
        <f>IF(Table2[[#This Row],[Counter Number]]="","",IF(Application!$J$25="Case-by-Case","NA",Table2[[#This Row],[Fiscal Year of EPA Funds Used:]]+Table2[[#This Row],[Remaining Life:]]))</f>
        <v/>
      </c>
      <c r="AJ136" s="165"/>
      <c r="AK136" s="170" t="str">
        <f>IF(Table2[[#This Row],[Counter Number]]="","",Application!$D$14+1)</f>
        <v/>
      </c>
      <c r="AL136" s="60" t="str">
        <f>IF(Table2[[#This Row],[Counter Number]]="","","Vehicle Replacement")</f>
        <v/>
      </c>
      <c r="AM13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6" s="171" t="str">
        <f>IF(Table2[[#This Row],[Counter Number]]="","",Table1[[#This Row],[Cost of New Bus:]])</f>
        <v/>
      </c>
      <c r="AO136" s="60" t="str">
        <f>IF(Table2[[#This Row],[Counter Number]]="","","NA")</f>
        <v/>
      </c>
      <c r="AP136" s="165" t="str">
        <f>IF(Table2[[#This Row],[Counter Number]]="","",Table1[[#This Row],[New Engine Model Year:]])</f>
        <v/>
      </c>
      <c r="AQ136" s="60" t="str">
        <f>IF(Table2[[#This Row],[Counter Number]]="","","NA")</f>
        <v/>
      </c>
      <c r="AR136" s="165" t="str">
        <f>IF(Table2[[#This Row],[Counter Number]]="","",Table1[[#This Row],[New Engine Horsepower (HP):]])</f>
        <v/>
      </c>
      <c r="AS136" s="60" t="str">
        <f>IF(Table2[[#This Row],[Counter Number]]="","","NA")</f>
        <v/>
      </c>
      <c r="AT136" s="165" t="str">
        <f>IF(Table2[[#This Row],[Counter Number]]="","",Table1[[#This Row],[New Engine Cylinder Displacement (L):]]&amp;" L")</f>
        <v/>
      </c>
      <c r="AU136" s="114" t="str">
        <f>IF(Table2[[#This Row],[Counter Number]]="","",Table1[[#This Row],[New Engine Number of Cylinders:]])</f>
        <v/>
      </c>
      <c r="AV136" s="60" t="str">
        <f>IF(Table2[[#This Row],[Counter Number]]="","",Table1[[#This Row],[New Engine Family Name:]])</f>
        <v/>
      </c>
      <c r="AW13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6" s="60" t="str">
        <f>IF(Table2[[#This Row],[Counter Number]]="","","NA")</f>
        <v/>
      </c>
      <c r="AY136" s="172" t="str">
        <f>IF(Table2[[#This Row],[Counter Number]]="","",IF(Table2[[#This Row],[New Engine Fuel Type:]]="ULSD",Table1[[#This Row],[Annual Miles Traveled]]/Table1[[#This Row],[New Fuel (mpg) if Diesel]],""))</f>
        <v/>
      </c>
      <c r="AZ136" s="60"/>
      <c r="BA136" s="173" t="str">
        <f>IF(Table2[[#This Row],[Counter Number]]="","",Table2[[#This Row],[Annual Miles Traveled:]]*VLOOKUP(Table2[[#This Row],[Engine Model Year:]],EFTable[],3,FALSE))</f>
        <v/>
      </c>
      <c r="BB136" s="173" t="str">
        <f>IF(Table2[[#This Row],[Counter Number]]="","",Table2[[#This Row],[Annual Miles Traveled:]]*IF(Table2[[#This Row],[New Engine Fuel Type:]]="ULSD",VLOOKUP(Table2[[#This Row],[New Engine Model Year:]],EFTable[],3,FALSE),VLOOKUP(Table2[[#This Row],[New Engine Fuel Type:]],EFTable[],3,FALSE)))</f>
        <v/>
      </c>
      <c r="BC136" s="187" t="str">
        <f>IF(Table2[[#This Row],[Counter Number]]="","",Table2[[#This Row],[Old Bus NOx Emissions (tons/yr)]]-Table2[[#This Row],[New Bus NOx Emissions (tons/yr)]])</f>
        <v/>
      </c>
      <c r="BD136" s="188" t="str">
        <f>IF(Table2[[#This Row],[Counter Number]]="","",Table2[[#This Row],[Reduction Bus NOx Emissions (tons/yr)]]/Table2[[#This Row],[Old Bus NOx Emissions (tons/yr)]])</f>
        <v/>
      </c>
      <c r="BE136" s="175" t="str">
        <f>IF(Table2[[#This Row],[Counter Number]]="","",Table2[[#This Row],[Reduction Bus NOx Emissions (tons/yr)]]*Table2[[#This Row],[Remaining Life:]])</f>
        <v/>
      </c>
      <c r="BF136" s="189" t="str">
        <f>IF(Table2[[#This Row],[Counter Number]]="","",IF(Table2[[#This Row],[Lifetime NOx Reduction (tons)]]=0,"NA",Table2[[#This Row],[Upgrade Cost Per Unit]]/Table2[[#This Row],[Lifetime NOx Reduction (tons)]]))</f>
        <v/>
      </c>
      <c r="BG136" s="190" t="str">
        <f>IF(Table2[[#This Row],[Counter Number]]="","",Table2[[#This Row],[Annual Miles Traveled:]]*VLOOKUP(Table2[[#This Row],[Engine Model Year:]],EF!$A$2:$G$27,4,FALSE))</f>
        <v/>
      </c>
      <c r="BH136" s="173" t="str">
        <f>IF(Table2[[#This Row],[Counter Number]]="","",Table2[[#This Row],[Annual Miles Traveled:]]*IF(Table2[[#This Row],[New Engine Fuel Type:]]="ULSD",VLOOKUP(Table2[[#This Row],[New Engine Model Year:]],EFTable[],4,FALSE),VLOOKUP(Table2[[#This Row],[New Engine Fuel Type:]],EFTable[],4,FALSE)))</f>
        <v/>
      </c>
      <c r="BI136" s="191" t="str">
        <f>IF(Table2[[#This Row],[Counter Number]]="","",Table2[[#This Row],[Old Bus PM2.5 Emissions (tons/yr)]]-Table2[[#This Row],[New Bus PM2.5 Emissions (tons/yr)]])</f>
        <v/>
      </c>
      <c r="BJ136" s="192" t="str">
        <f>IF(Table2[[#This Row],[Counter Number]]="","",Table2[[#This Row],[Reduction Bus PM2.5 Emissions (tons/yr)]]/Table2[[#This Row],[Old Bus PM2.5 Emissions (tons/yr)]])</f>
        <v/>
      </c>
      <c r="BK136" s="193" t="str">
        <f>IF(Table2[[#This Row],[Counter Number]]="","",Table2[[#This Row],[Reduction Bus PM2.5 Emissions (tons/yr)]]*Table2[[#This Row],[Remaining Life:]])</f>
        <v/>
      </c>
      <c r="BL136" s="194" t="str">
        <f>IF(Table2[[#This Row],[Counter Number]]="","",IF(Table2[[#This Row],[Lifetime PM2.5 Reduction (tons)]]=0,"NA",Table2[[#This Row],[Upgrade Cost Per Unit]]/Table2[[#This Row],[Lifetime PM2.5 Reduction (tons)]]))</f>
        <v/>
      </c>
      <c r="BM136" s="179" t="str">
        <f>IF(Table2[[#This Row],[Counter Number]]="","",Table2[[#This Row],[Annual Miles Traveled:]]*VLOOKUP(Table2[[#This Row],[Engine Model Year:]],EF!$A$2:$G$40,5,FALSE))</f>
        <v/>
      </c>
      <c r="BN136" s="173" t="str">
        <f>IF(Table2[[#This Row],[Counter Number]]="","",Table2[[#This Row],[Annual Miles Traveled:]]*IF(Table2[[#This Row],[New Engine Fuel Type:]]="ULSD",VLOOKUP(Table2[[#This Row],[New Engine Model Year:]],EFTable[],5,FALSE),VLOOKUP(Table2[[#This Row],[New Engine Fuel Type:]],EFTable[],5,FALSE)))</f>
        <v/>
      </c>
      <c r="BO136" s="190" t="str">
        <f>IF(Table2[[#This Row],[Counter Number]]="","",Table2[[#This Row],[Old Bus HC Emissions (tons/yr)]]-Table2[[#This Row],[New Bus HC Emissions (tons/yr)]])</f>
        <v/>
      </c>
      <c r="BP136" s="188" t="str">
        <f>IF(Table2[[#This Row],[Counter Number]]="","",Table2[[#This Row],[Reduction Bus HC Emissions (tons/yr)]]/Table2[[#This Row],[Old Bus HC Emissions (tons/yr)]])</f>
        <v/>
      </c>
      <c r="BQ136" s="193" t="str">
        <f>IF(Table2[[#This Row],[Counter Number]]="","",Table2[[#This Row],[Reduction Bus HC Emissions (tons/yr)]]*Table2[[#This Row],[Remaining Life:]])</f>
        <v/>
      </c>
      <c r="BR136" s="194" t="str">
        <f>IF(Table2[[#This Row],[Counter Number]]="","",IF(Table2[[#This Row],[Lifetime HC Reduction (tons)]]=0,"NA",Table2[[#This Row],[Upgrade Cost Per Unit]]/Table2[[#This Row],[Lifetime HC Reduction (tons)]]))</f>
        <v/>
      </c>
      <c r="BS136" s="191" t="str">
        <f>IF(Table2[[#This Row],[Counter Number]]="","",Table2[[#This Row],[Annual Miles Traveled:]]*VLOOKUP(Table2[[#This Row],[Engine Model Year:]],EF!$A$2:$G$27,6,FALSE))</f>
        <v/>
      </c>
      <c r="BT136" s="173" t="str">
        <f>IF(Table2[[#This Row],[Counter Number]]="","",Table2[[#This Row],[Annual Miles Traveled:]]*IF(Table2[[#This Row],[New Engine Fuel Type:]]="ULSD",VLOOKUP(Table2[[#This Row],[New Engine Model Year:]],EFTable[],6,FALSE),VLOOKUP(Table2[[#This Row],[New Engine Fuel Type:]],EFTable[],6,FALSE)))</f>
        <v/>
      </c>
      <c r="BU136" s="190" t="str">
        <f>IF(Table2[[#This Row],[Counter Number]]="","",Table2[[#This Row],[Old Bus CO Emissions (tons/yr)]]-Table2[[#This Row],[New Bus CO Emissions (tons/yr)]])</f>
        <v/>
      </c>
      <c r="BV136" s="188" t="str">
        <f>IF(Table2[[#This Row],[Counter Number]]="","",Table2[[#This Row],[Reduction Bus CO Emissions (tons/yr)]]/Table2[[#This Row],[Old Bus CO Emissions (tons/yr)]])</f>
        <v/>
      </c>
      <c r="BW136" s="193" t="str">
        <f>IF(Table2[[#This Row],[Counter Number]]="","",Table2[[#This Row],[Reduction Bus CO Emissions (tons/yr)]]*Table2[[#This Row],[Remaining Life:]])</f>
        <v/>
      </c>
      <c r="BX136" s="194" t="str">
        <f>IF(Table2[[#This Row],[Counter Number]]="","",IF(Table2[[#This Row],[Lifetime CO Reduction (tons)]]=0,"NA",Table2[[#This Row],[Upgrade Cost Per Unit]]/Table2[[#This Row],[Lifetime CO Reduction (tons)]]))</f>
        <v/>
      </c>
      <c r="BY136" s="180" t="str">
        <f>IF(Table2[[#This Row],[Counter Number]]="","",Table2[[#This Row],[Old ULSD Used (gal):]]*VLOOKUP(Table2[[#This Row],[Engine Model Year:]],EF!$A$2:$G$27,7,FALSE))</f>
        <v/>
      </c>
      <c r="BZ13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6" s="195" t="str">
        <f>IF(Table2[[#This Row],[Counter Number]]="","",Table2[[#This Row],[Old Bus CO2 Emissions (tons/yr)]]-Table2[[#This Row],[New Bus CO2 Emissions (tons/yr)]])</f>
        <v/>
      </c>
      <c r="CB136" s="188" t="str">
        <f>IF(Table2[[#This Row],[Counter Number]]="","",Table2[[#This Row],[Reduction Bus CO2 Emissions (tons/yr)]]/Table2[[#This Row],[Old Bus CO2 Emissions (tons/yr)]])</f>
        <v/>
      </c>
      <c r="CC136" s="195" t="str">
        <f>IF(Table2[[#This Row],[Counter Number]]="","",Table2[[#This Row],[Reduction Bus CO2 Emissions (tons/yr)]]*Table2[[#This Row],[Remaining Life:]])</f>
        <v/>
      </c>
      <c r="CD136" s="194" t="str">
        <f>IF(Table2[[#This Row],[Counter Number]]="","",IF(Table2[[#This Row],[Lifetime CO2 Reduction (tons)]]=0,"NA",Table2[[#This Row],[Upgrade Cost Per Unit]]/Table2[[#This Row],[Lifetime CO2 Reduction (tons)]]))</f>
        <v/>
      </c>
      <c r="CE136" s="182" t="str">
        <f>IF(Table2[[#This Row],[Counter Number]]="","",IF(Table2[[#This Row],[New ULSD Used (gal):]]="",Table2[[#This Row],[Old ULSD Used (gal):]],Table2[[#This Row],[Old ULSD Used (gal):]]-Table2[[#This Row],[New ULSD Used (gal):]]))</f>
        <v/>
      </c>
      <c r="CF136" s="196" t="str">
        <f>IF(Table2[[#This Row],[Counter Number]]="","",Table2[[#This Row],[Diesel Fuel Reduction (gal/yr)]]/Table2[[#This Row],[Old ULSD Used (gal):]])</f>
        <v/>
      </c>
      <c r="CG136" s="197" t="str">
        <f>IF(Table2[[#This Row],[Counter Number]]="","",Table2[[#This Row],[Diesel Fuel Reduction (gal/yr)]]*Table2[[#This Row],[Remaining Life:]])</f>
        <v/>
      </c>
    </row>
    <row r="137" spans="1:85">
      <c r="A137" s="184" t="str">
        <f>IF(A136&lt;Application!$D$24,A136+1,"")</f>
        <v/>
      </c>
      <c r="B137" s="60" t="str">
        <f>IF(Table2[[#This Row],[Counter Number]]="","",Application!$D$16)</f>
        <v/>
      </c>
      <c r="C137" s="60" t="str">
        <f>IF(Table2[[#This Row],[Counter Number]]="","",Application!$D$14)</f>
        <v/>
      </c>
      <c r="D137" s="60" t="str">
        <f>IF(Table2[[#This Row],[Counter Number]]="","",Table1[[#This Row],[Old Bus Number]])</f>
        <v/>
      </c>
      <c r="E137" s="60" t="str">
        <f>IF(Table2[[#This Row],[Counter Number]]="","",Application!$D$15)</f>
        <v/>
      </c>
      <c r="F137" s="60" t="str">
        <f>IF(Table2[[#This Row],[Counter Number]]="","","On Highway")</f>
        <v/>
      </c>
      <c r="G137" s="60" t="str">
        <f>IF(Table2[[#This Row],[Counter Number]]="","",I137)</f>
        <v/>
      </c>
      <c r="H137" s="60" t="str">
        <f>IF(Table2[[#This Row],[Counter Number]]="","","Georgia")</f>
        <v/>
      </c>
      <c r="I137" s="60" t="str">
        <f>IF(Table2[[#This Row],[Counter Number]]="","",Application!$D$16)</f>
        <v/>
      </c>
      <c r="J137" s="60" t="str">
        <f>IF(Table2[[#This Row],[Counter Number]]="","",Application!$D$21)</f>
        <v/>
      </c>
      <c r="K137" s="60" t="str">
        <f>IF(Table2[[#This Row],[Counter Number]]="","",Application!$J$21)</f>
        <v/>
      </c>
      <c r="L137" s="60" t="str">
        <f>IF(Table2[[#This Row],[Counter Number]]="","","School Bus")</f>
        <v/>
      </c>
      <c r="M137" s="60" t="str">
        <f>IF(Table2[[#This Row],[Counter Number]]="","","School Bus")</f>
        <v/>
      </c>
      <c r="N137" s="60" t="str">
        <f>IF(Table2[[#This Row],[Counter Number]]="","",1)</f>
        <v/>
      </c>
      <c r="O137" s="60" t="str">
        <f>IF(Table2[[#This Row],[Counter Number]]="","",Table1[[#This Row],[Vehicle Identification Number(s):]])</f>
        <v/>
      </c>
      <c r="P137" s="60" t="str">
        <f>IF(Table2[[#This Row],[Counter Number]]="","",Table1[[#This Row],[Old Bus Manufacturer:]])</f>
        <v/>
      </c>
      <c r="Q137" s="60" t="str">
        <f>IF(Table2[[#This Row],[Counter Number]]="","",Table1[[#This Row],[Vehicle Model:]])</f>
        <v/>
      </c>
      <c r="R137" s="165" t="str">
        <f>IF(Table2[[#This Row],[Counter Number]]="","",Table1[[#This Row],[Vehicle Model Year:]])</f>
        <v/>
      </c>
      <c r="S137" s="60" t="str">
        <f>IF(Table2[[#This Row],[Counter Number]]="","",Table1[[#This Row],[Engine Serial Number(s):]])</f>
        <v/>
      </c>
      <c r="T137" s="60" t="str">
        <f>IF(Table2[[#This Row],[Counter Number]]="","",Table1[[#This Row],[Engine Make:]])</f>
        <v/>
      </c>
      <c r="U137" s="60" t="str">
        <f>IF(Table2[[#This Row],[Counter Number]]="","",Table1[[#This Row],[Engine Model:]])</f>
        <v/>
      </c>
      <c r="V137" s="165" t="str">
        <f>IF(Table2[[#This Row],[Counter Number]]="","",Table1[[#This Row],[Engine Model Year:]])</f>
        <v/>
      </c>
      <c r="W137" s="60" t="str">
        <f>IF(Table2[[#This Row],[Counter Number]]="","","NA")</f>
        <v/>
      </c>
      <c r="X137" s="165" t="str">
        <f>IF(Table2[[#This Row],[Counter Number]]="","",Table1[[#This Row],[Engine Horsepower (HP):]])</f>
        <v/>
      </c>
      <c r="Y137" s="165" t="str">
        <f>IF(Table2[[#This Row],[Counter Number]]="","",Table1[[#This Row],[Engine Cylinder Displacement (L):]]&amp;" L")</f>
        <v/>
      </c>
      <c r="Z137" s="165" t="str">
        <f>IF(Table2[[#This Row],[Counter Number]]="","",Table1[[#This Row],[Engine Number of Cylinders:]])</f>
        <v/>
      </c>
      <c r="AA137" s="166" t="str">
        <f>IF(Table2[[#This Row],[Counter Number]]="","",Table1[[#This Row],[Engine Family Name:]])</f>
        <v/>
      </c>
      <c r="AB137" s="60" t="str">
        <f>IF(Table2[[#This Row],[Counter Number]]="","","ULSD")</f>
        <v/>
      </c>
      <c r="AC137" s="167" t="str">
        <f>IF(Table2[[#This Row],[Counter Number]]="","",Table2[[#This Row],[Annual Miles Traveled:]]/Table1[[#This Row],[Old Fuel (mpg)]])</f>
        <v/>
      </c>
      <c r="AD137" s="60" t="str">
        <f>IF(Table2[[#This Row],[Counter Number]]="","","NA")</f>
        <v/>
      </c>
      <c r="AE137" s="168" t="str">
        <f>IF(Table2[[#This Row],[Counter Number]]="","",Table1[[#This Row],[Annual Miles Traveled]])</f>
        <v/>
      </c>
      <c r="AF137" s="169" t="str">
        <f>IF(Table2[[#This Row],[Counter Number]]="","",Table1[[#This Row],[Annual Idling Hours:]])</f>
        <v/>
      </c>
      <c r="AG137" s="60" t="str">
        <f>IF(Table2[[#This Row],[Counter Number]]="","","NA")</f>
        <v/>
      </c>
      <c r="AH137" s="165" t="str">
        <f>IF(Table2[[#This Row],[Counter Number]]="","",IF(Application!$J$25="Set Policy",Table1[[#This Row],[Remaining Life (years)         Set Policy]],Table1[[#This Row],[Remaining Life (years)               Case-by-Case]]))</f>
        <v/>
      </c>
      <c r="AI137" s="165" t="str">
        <f>IF(Table2[[#This Row],[Counter Number]]="","",IF(Application!$J$25="Case-by-Case","NA",Table2[[#This Row],[Fiscal Year of EPA Funds Used:]]+Table2[[#This Row],[Remaining Life:]]))</f>
        <v/>
      </c>
      <c r="AJ137" s="165"/>
      <c r="AK137" s="170" t="str">
        <f>IF(Table2[[#This Row],[Counter Number]]="","",Application!$D$14+1)</f>
        <v/>
      </c>
      <c r="AL137" s="60" t="str">
        <f>IF(Table2[[#This Row],[Counter Number]]="","","Vehicle Replacement")</f>
        <v/>
      </c>
      <c r="AM13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7" s="171" t="str">
        <f>IF(Table2[[#This Row],[Counter Number]]="","",Table1[[#This Row],[Cost of New Bus:]])</f>
        <v/>
      </c>
      <c r="AO137" s="60" t="str">
        <f>IF(Table2[[#This Row],[Counter Number]]="","","NA")</f>
        <v/>
      </c>
      <c r="AP137" s="165" t="str">
        <f>IF(Table2[[#This Row],[Counter Number]]="","",Table1[[#This Row],[New Engine Model Year:]])</f>
        <v/>
      </c>
      <c r="AQ137" s="60" t="str">
        <f>IF(Table2[[#This Row],[Counter Number]]="","","NA")</f>
        <v/>
      </c>
      <c r="AR137" s="165" t="str">
        <f>IF(Table2[[#This Row],[Counter Number]]="","",Table1[[#This Row],[New Engine Horsepower (HP):]])</f>
        <v/>
      </c>
      <c r="AS137" s="60" t="str">
        <f>IF(Table2[[#This Row],[Counter Number]]="","","NA")</f>
        <v/>
      </c>
      <c r="AT137" s="165" t="str">
        <f>IF(Table2[[#This Row],[Counter Number]]="","",Table1[[#This Row],[New Engine Cylinder Displacement (L):]]&amp;" L")</f>
        <v/>
      </c>
      <c r="AU137" s="114" t="str">
        <f>IF(Table2[[#This Row],[Counter Number]]="","",Table1[[#This Row],[New Engine Number of Cylinders:]])</f>
        <v/>
      </c>
      <c r="AV137" s="60" t="str">
        <f>IF(Table2[[#This Row],[Counter Number]]="","",Table1[[#This Row],[New Engine Family Name:]])</f>
        <v/>
      </c>
      <c r="AW13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7" s="60" t="str">
        <f>IF(Table2[[#This Row],[Counter Number]]="","","NA")</f>
        <v/>
      </c>
      <c r="AY137" s="172" t="str">
        <f>IF(Table2[[#This Row],[Counter Number]]="","",IF(Table2[[#This Row],[New Engine Fuel Type:]]="ULSD",Table1[[#This Row],[Annual Miles Traveled]]/Table1[[#This Row],[New Fuel (mpg) if Diesel]],""))</f>
        <v/>
      </c>
      <c r="AZ137" s="60"/>
      <c r="BA137" s="173" t="str">
        <f>IF(Table2[[#This Row],[Counter Number]]="","",Table2[[#This Row],[Annual Miles Traveled:]]*VLOOKUP(Table2[[#This Row],[Engine Model Year:]],EFTable[],3,FALSE))</f>
        <v/>
      </c>
      <c r="BB137" s="173" t="str">
        <f>IF(Table2[[#This Row],[Counter Number]]="","",Table2[[#This Row],[Annual Miles Traveled:]]*IF(Table2[[#This Row],[New Engine Fuel Type:]]="ULSD",VLOOKUP(Table2[[#This Row],[New Engine Model Year:]],EFTable[],3,FALSE),VLOOKUP(Table2[[#This Row],[New Engine Fuel Type:]],EFTable[],3,FALSE)))</f>
        <v/>
      </c>
      <c r="BC137" s="187" t="str">
        <f>IF(Table2[[#This Row],[Counter Number]]="","",Table2[[#This Row],[Old Bus NOx Emissions (tons/yr)]]-Table2[[#This Row],[New Bus NOx Emissions (tons/yr)]])</f>
        <v/>
      </c>
      <c r="BD137" s="188" t="str">
        <f>IF(Table2[[#This Row],[Counter Number]]="","",Table2[[#This Row],[Reduction Bus NOx Emissions (tons/yr)]]/Table2[[#This Row],[Old Bus NOx Emissions (tons/yr)]])</f>
        <v/>
      </c>
      <c r="BE137" s="175" t="str">
        <f>IF(Table2[[#This Row],[Counter Number]]="","",Table2[[#This Row],[Reduction Bus NOx Emissions (tons/yr)]]*Table2[[#This Row],[Remaining Life:]])</f>
        <v/>
      </c>
      <c r="BF137" s="189" t="str">
        <f>IF(Table2[[#This Row],[Counter Number]]="","",IF(Table2[[#This Row],[Lifetime NOx Reduction (tons)]]=0,"NA",Table2[[#This Row],[Upgrade Cost Per Unit]]/Table2[[#This Row],[Lifetime NOx Reduction (tons)]]))</f>
        <v/>
      </c>
      <c r="BG137" s="190" t="str">
        <f>IF(Table2[[#This Row],[Counter Number]]="","",Table2[[#This Row],[Annual Miles Traveled:]]*VLOOKUP(Table2[[#This Row],[Engine Model Year:]],EF!$A$2:$G$27,4,FALSE))</f>
        <v/>
      </c>
      <c r="BH137" s="173" t="str">
        <f>IF(Table2[[#This Row],[Counter Number]]="","",Table2[[#This Row],[Annual Miles Traveled:]]*IF(Table2[[#This Row],[New Engine Fuel Type:]]="ULSD",VLOOKUP(Table2[[#This Row],[New Engine Model Year:]],EFTable[],4,FALSE),VLOOKUP(Table2[[#This Row],[New Engine Fuel Type:]],EFTable[],4,FALSE)))</f>
        <v/>
      </c>
      <c r="BI137" s="191" t="str">
        <f>IF(Table2[[#This Row],[Counter Number]]="","",Table2[[#This Row],[Old Bus PM2.5 Emissions (tons/yr)]]-Table2[[#This Row],[New Bus PM2.5 Emissions (tons/yr)]])</f>
        <v/>
      </c>
      <c r="BJ137" s="192" t="str">
        <f>IF(Table2[[#This Row],[Counter Number]]="","",Table2[[#This Row],[Reduction Bus PM2.5 Emissions (tons/yr)]]/Table2[[#This Row],[Old Bus PM2.5 Emissions (tons/yr)]])</f>
        <v/>
      </c>
      <c r="BK137" s="193" t="str">
        <f>IF(Table2[[#This Row],[Counter Number]]="","",Table2[[#This Row],[Reduction Bus PM2.5 Emissions (tons/yr)]]*Table2[[#This Row],[Remaining Life:]])</f>
        <v/>
      </c>
      <c r="BL137" s="194" t="str">
        <f>IF(Table2[[#This Row],[Counter Number]]="","",IF(Table2[[#This Row],[Lifetime PM2.5 Reduction (tons)]]=0,"NA",Table2[[#This Row],[Upgrade Cost Per Unit]]/Table2[[#This Row],[Lifetime PM2.5 Reduction (tons)]]))</f>
        <v/>
      </c>
      <c r="BM137" s="179" t="str">
        <f>IF(Table2[[#This Row],[Counter Number]]="","",Table2[[#This Row],[Annual Miles Traveled:]]*VLOOKUP(Table2[[#This Row],[Engine Model Year:]],EF!$A$2:$G$40,5,FALSE))</f>
        <v/>
      </c>
      <c r="BN137" s="173" t="str">
        <f>IF(Table2[[#This Row],[Counter Number]]="","",Table2[[#This Row],[Annual Miles Traveled:]]*IF(Table2[[#This Row],[New Engine Fuel Type:]]="ULSD",VLOOKUP(Table2[[#This Row],[New Engine Model Year:]],EFTable[],5,FALSE),VLOOKUP(Table2[[#This Row],[New Engine Fuel Type:]],EFTable[],5,FALSE)))</f>
        <v/>
      </c>
      <c r="BO137" s="190" t="str">
        <f>IF(Table2[[#This Row],[Counter Number]]="","",Table2[[#This Row],[Old Bus HC Emissions (tons/yr)]]-Table2[[#This Row],[New Bus HC Emissions (tons/yr)]])</f>
        <v/>
      </c>
      <c r="BP137" s="188" t="str">
        <f>IF(Table2[[#This Row],[Counter Number]]="","",Table2[[#This Row],[Reduction Bus HC Emissions (tons/yr)]]/Table2[[#This Row],[Old Bus HC Emissions (tons/yr)]])</f>
        <v/>
      </c>
      <c r="BQ137" s="193" t="str">
        <f>IF(Table2[[#This Row],[Counter Number]]="","",Table2[[#This Row],[Reduction Bus HC Emissions (tons/yr)]]*Table2[[#This Row],[Remaining Life:]])</f>
        <v/>
      </c>
      <c r="BR137" s="194" t="str">
        <f>IF(Table2[[#This Row],[Counter Number]]="","",IF(Table2[[#This Row],[Lifetime HC Reduction (tons)]]=0,"NA",Table2[[#This Row],[Upgrade Cost Per Unit]]/Table2[[#This Row],[Lifetime HC Reduction (tons)]]))</f>
        <v/>
      </c>
      <c r="BS137" s="191" t="str">
        <f>IF(Table2[[#This Row],[Counter Number]]="","",Table2[[#This Row],[Annual Miles Traveled:]]*VLOOKUP(Table2[[#This Row],[Engine Model Year:]],EF!$A$2:$G$27,6,FALSE))</f>
        <v/>
      </c>
      <c r="BT137" s="173" t="str">
        <f>IF(Table2[[#This Row],[Counter Number]]="","",Table2[[#This Row],[Annual Miles Traveled:]]*IF(Table2[[#This Row],[New Engine Fuel Type:]]="ULSD",VLOOKUP(Table2[[#This Row],[New Engine Model Year:]],EFTable[],6,FALSE),VLOOKUP(Table2[[#This Row],[New Engine Fuel Type:]],EFTable[],6,FALSE)))</f>
        <v/>
      </c>
      <c r="BU137" s="190" t="str">
        <f>IF(Table2[[#This Row],[Counter Number]]="","",Table2[[#This Row],[Old Bus CO Emissions (tons/yr)]]-Table2[[#This Row],[New Bus CO Emissions (tons/yr)]])</f>
        <v/>
      </c>
      <c r="BV137" s="188" t="str">
        <f>IF(Table2[[#This Row],[Counter Number]]="","",Table2[[#This Row],[Reduction Bus CO Emissions (tons/yr)]]/Table2[[#This Row],[Old Bus CO Emissions (tons/yr)]])</f>
        <v/>
      </c>
      <c r="BW137" s="193" t="str">
        <f>IF(Table2[[#This Row],[Counter Number]]="","",Table2[[#This Row],[Reduction Bus CO Emissions (tons/yr)]]*Table2[[#This Row],[Remaining Life:]])</f>
        <v/>
      </c>
      <c r="BX137" s="194" t="str">
        <f>IF(Table2[[#This Row],[Counter Number]]="","",IF(Table2[[#This Row],[Lifetime CO Reduction (tons)]]=0,"NA",Table2[[#This Row],[Upgrade Cost Per Unit]]/Table2[[#This Row],[Lifetime CO Reduction (tons)]]))</f>
        <v/>
      </c>
      <c r="BY137" s="180" t="str">
        <f>IF(Table2[[#This Row],[Counter Number]]="","",Table2[[#This Row],[Old ULSD Used (gal):]]*VLOOKUP(Table2[[#This Row],[Engine Model Year:]],EF!$A$2:$G$27,7,FALSE))</f>
        <v/>
      </c>
      <c r="BZ13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7" s="195" t="str">
        <f>IF(Table2[[#This Row],[Counter Number]]="","",Table2[[#This Row],[Old Bus CO2 Emissions (tons/yr)]]-Table2[[#This Row],[New Bus CO2 Emissions (tons/yr)]])</f>
        <v/>
      </c>
      <c r="CB137" s="188" t="str">
        <f>IF(Table2[[#This Row],[Counter Number]]="","",Table2[[#This Row],[Reduction Bus CO2 Emissions (tons/yr)]]/Table2[[#This Row],[Old Bus CO2 Emissions (tons/yr)]])</f>
        <v/>
      </c>
      <c r="CC137" s="195" t="str">
        <f>IF(Table2[[#This Row],[Counter Number]]="","",Table2[[#This Row],[Reduction Bus CO2 Emissions (tons/yr)]]*Table2[[#This Row],[Remaining Life:]])</f>
        <v/>
      </c>
      <c r="CD137" s="194" t="str">
        <f>IF(Table2[[#This Row],[Counter Number]]="","",IF(Table2[[#This Row],[Lifetime CO2 Reduction (tons)]]=0,"NA",Table2[[#This Row],[Upgrade Cost Per Unit]]/Table2[[#This Row],[Lifetime CO2 Reduction (tons)]]))</f>
        <v/>
      </c>
      <c r="CE137" s="182" t="str">
        <f>IF(Table2[[#This Row],[Counter Number]]="","",IF(Table2[[#This Row],[New ULSD Used (gal):]]="",Table2[[#This Row],[Old ULSD Used (gal):]],Table2[[#This Row],[Old ULSD Used (gal):]]-Table2[[#This Row],[New ULSD Used (gal):]]))</f>
        <v/>
      </c>
      <c r="CF137" s="196" t="str">
        <f>IF(Table2[[#This Row],[Counter Number]]="","",Table2[[#This Row],[Diesel Fuel Reduction (gal/yr)]]/Table2[[#This Row],[Old ULSD Used (gal):]])</f>
        <v/>
      </c>
      <c r="CG137" s="197" t="str">
        <f>IF(Table2[[#This Row],[Counter Number]]="","",Table2[[#This Row],[Diesel Fuel Reduction (gal/yr)]]*Table2[[#This Row],[Remaining Life:]])</f>
        <v/>
      </c>
    </row>
    <row r="138" spans="1:85">
      <c r="A138" s="184" t="str">
        <f>IF(A137&lt;Application!$D$24,A137+1,"")</f>
        <v/>
      </c>
      <c r="B138" s="60" t="str">
        <f>IF(Table2[[#This Row],[Counter Number]]="","",Application!$D$16)</f>
        <v/>
      </c>
      <c r="C138" s="60" t="str">
        <f>IF(Table2[[#This Row],[Counter Number]]="","",Application!$D$14)</f>
        <v/>
      </c>
      <c r="D138" s="60" t="str">
        <f>IF(Table2[[#This Row],[Counter Number]]="","",Table1[[#This Row],[Old Bus Number]])</f>
        <v/>
      </c>
      <c r="E138" s="60" t="str">
        <f>IF(Table2[[#This Row],[Counter Number]]="","",Application!$D$15)</f>
        <v/>
      </c>
      <c r="F138" s="60" t="str">
        <f>IF(Table2[[#This Row],[Counter Number]]="","","On Highway")</f>
        <v/>
      </c>
      <c r="G138" s="60" t="str">
        <f>IF(Table2[[#This Row],[Counter Number]]="","",I138)</f>
        <v/>
      </c>
      <c r="H138" s="60" t="str">
        <f>IF(Table2[[#This Row],[Counter Number]]="","","Georgia")</f>
        <v/>
      </c>
      <c r="I138" s="60" t="str">
        <f>IF(Table2[[#This Row],[Counter Number]]="","",Application!$D$16)</f>
        <v/>
      </c>
      <c r="J138" s="60" t="str">
        <f>IF(Table2[[#This Row],[Counter Number]]="","",Application!$D$21)</f>
        <v/>
      </c>
      <c r="K138" s="60" t="str">
        <f>IF(Table2[[#This Row],[Counter Number]]="","",Application!$J$21)</f>
        <v/>
      </c>
      <c r="L138" s="60" t="str">
        <f>IF(Table2[[#This Row],[Counter Number]]="","","School Bus")</f>
        <v/>
      </c>
      <c r="M138" s="60" t="str">
        <f>IF(Table2[[#This Row],[Counter Number]]="","","School Bus")</f>
        <v/>
      </c>
      <c r="N138" s="60" t="str">
        <f>IF(Table2[[#This Row],[Counter Number]]="","",1)</f>
        <v/>
      </c>
      <c r="O138" s="60" t="str">
        <f>IF(Table2[[#This Row],[Counter Number]]="","",Table1[[#This Row],[Vehicle Identification Number(s):]])</f>
        <v/>
      </c>
      <c r="P138" s="60" t="str">
        <f>IF(Table2[[#This Row],[Counter Number]]="","",Table1[[#This Row],[Old Bus Manufacturer:]])</f>
        <v/>
      </c>
      <c r="Q138" s="60" t="str">
        <f>IF(Table2[[#This Row],[Counter Number]]="","",Table1[[#This Row],[Vehicle Model:]])</f>
        <v/>
      </c>
      <c r="R138" s="165" t="str">
        <f>IF(Table2[[#This Row],[Counter Number]]="","",Table1[[#This Row],[Vehicle Model Year:]])</f>
        <v/>
      </c>
      <c r="S138" s="60" t="str">
        <f>IF(Table2[[#This Row],[Counter Number]]="","",Table1[[#This Row],[Engine Serial Number(s):]])</f>
        <v/>
      </c>
      <c r="T138" s="60" t="str">
        <f>IF(Table2[[#This Row],[Counter Number]]="","",Table1[[#This Row],[Engine Make:]])</f>
        <v/>
      </c>
      <c r="U138" s="60" t="str">
        <f>IF(Table2[[#This Row],[Counter Number]]="","",Table1[[#This Row],[Engine Model:]])</f>
        <v/>
      </c>
      <c r="V138" s="165" t="str">
        <f>IF(Table2[[#This Row],[Counter Number]]="","",Table1[[#This Row],[Engine Model Year:]])</f>
        <v/>
      </c>
      <c r="W138" s="60" t="str">
        <f>IF(Table2[[#This Row],[Counter Number]]="","","NA")</f>
        <v/>
      </c>
      <c r="X138" s="165" t="str">
        <f>IF(Table2[[#This Row],[Counter Number]]="","",Table1[[#This Row],[Engine Horsepower (HP):]])</f>
        <v/>
      </c>
      <c r="Y138" s="165" t="str">
        <f>IF(Table2[[#This Row],[Counter Number]]="","",Table1[[#This Row],[Engine Cylinder Displacement (L):]]&amp;" L")</f>
        <v/>
      </c>
      <c r="Z138" s="165" t="str">
        <f>IF(Table2[[#This Row],[Counter Number]]="","",Table1[[#This Row],[Engine Number of Cylinders:]])</f>
        <v/>
      </c>
      <c r="AA138" s="166" t="str">
        <f>IF(Table2[[#This Row],[Counter Number]]="","",Table1[[#This Row],[Engine Family Name:]])</f>
        <v/>
      </c>
      <c r="AB138" s="60" t="str">
        <f>IF(Table2[[#This Row],[Counter Number]]="","","ULSD")</f>
        <v/>
      </c>
      <c r="AC138" s="167" t="str">
        <f>IF(Table2[[#This Row],[Counter Number]]="","",Table2[[#This Row],[Annual Miles Traveled:]]/Table1[[#This Row],[Old Fuel (mpg)]])</f>
        <v/>
      </c>
      <c r="AD138" s="60" t="str">
        <f>IF(Table2[[#This Row],[Counter Number]]="","","NA")</f>
        <v/>
      </c>
      <c r="AE138" s="168" t="str">
        <f>IF(Table2[[#This Row],[Counter Number]]="","",Table1[[#This Row],[Annual Miles Traveled]])</f>
        <v/>
      </c>
      <c r="AF138" s="169" t="str">
        <f>IF(Table2[[#This Row],[Counter Number]]="","",Table1[[#This Row],[Annual Idling Hours:]])</f>
        <v/>
      </c>
      <c r="AG138" s="60" t="str">
        <f>IF(Table2[[#This Row],[Counter Number]]="","","NA")</f>
        <v/>
      </c>
      <c r="AH138" s="165" t="str">
        <f>IF(Table2[[#This Row],[Counter Number]]="","",IF(Application!$J$25="Set Policy",Table1[[#This Row],[Remaining Life (years)         Set Policy]],Table1[[#This Row],[Remaining Life (years)               Case-by-Case]]))</f>
        <v/>
      </c>
      <c r="AI138" s="165" t="str">
        <f>IF(Table2[[#This Row],[Counter Number]]="","",IF(Application!$J$25="Case-by-Case","NA",Table2[[#This Row],[Fiscal Year of EPA Funds Used:]]+Table2[[#This Row],[Remaining Life:]]))</f>
        <v/>
      </c>
      <c r="AJ138" s="165"/>
      <c r="AK138" s="170" t="str">
        <f>IF(Table2[[#This Row],[Counter Number]]="","",Application!$D$14+1)</f>
        <v/>
      </c>
      <c r="AL138" s="60" t="str">
        <f>IF(Table2[[#This Row],[Counter Number]]="","","Vehicle Replacement")</f>
        <v/>
      </c>
      <c r="AM13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8" s="171" t="str">
        <f>IF(Table2[[#This Row],[Counter Number]]="","",Table1[[#This Row],[Cost of New Bus:]])</f>
        <v/>
      </c>
      <c r="AO138" s="60" t="str">
        <f>IF(Table2[[#This Row],[Counter Number]]="","","NA")</f>
        <v/>
      </c>
      <c r="AP138" s="165" t="str">
        <f>IF(Table2[[#This Row],[Counter Number]]="","",Table1[[#This Row],[New Engine Model Year:]])</f>
        <v/>
      </c>
      <c r="AQ138" s="60" t="str">
        <f>IF(Table2[[#This Row],[Counter Number]]="","","NA")</f>
        <v/>
      </c>
      <c r="AR138" s="165" t="str">
        <f>IF(Table2[[#This Row],[Counter Number]]="","",Table1[[#This Row],[New Engine Horsepower (HP):]])</f>
        <v/>
      </c>
      <c r="AS138" s="60" t="str">
        <f>IF(Table2[[#This Row],[Counter Number]]="","","NA")</f>
        <v/>
      </c>
      <c r="AT138" s="165" t="str">
        <f>IF(Table2[[#This Row],[Counter Number]]="","",Table1[[#This Row],[New Engine Cylinder Displacement (L):]]&amp;" L")</f>
        <v/>
      </c>
      <c r="AU138" s="114" t="str">
        <f>IF(Table2[[#This Row],[Counter Number]]="","",Table1[[#This Row],[New Engine Number of Cylinders:]])</f>
        <v/>
      </c>
      <c r="AV138" s="60" t="str">
        <f>IF(Table2[[#This Row],[Counter Number]]="","",Table1[[#This Row],[New Engine Family Name:]])</f>
        <v/>
      </c>
      <c r="AW13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8" s="60" t="str">
        <f>IF(Table2[[#This Row],[Counter Number]]="","","NA")</f>
        <v/>
      </c>
      <c r="AY138" s="172" t="str">
        <f>IF(Table2[[#This Row],[Counter Number]]="","",IF(Table2[[#This Row],[New Engine Fuel Type:]]="ULSD",Table1[[#This Row],[Annual Miles Traveled]]/Table1[[#This Row],[New Fuel (mpg) if Diesel]],""))</f>
        <v/>
      </c>
      <c r="AZ138" s="60"/>
      <c r="BA138" s="173" t="str">
        <f>IF(Table2[[#This Row],[Counter Number]]="","",Table2[[#This Row],[Annual Miles Traveled:]]*VLOOKUP(Table2[[#This Row],[Engine Model Year:]],EFTable[],3,FALSE))</f>
        <v/>
      </c>
      <c r="BB138" s="173" t="str">
        <f>IF(Table2[[#This Row],[Counter Number]]="","",Table2[[#This Row],[Annual Miles Traveled:]]*IF(Table2[[#This Row],[New Engine Fuel Type:]]="ULSD",VLOOKUP(Table2[[#This Row],[New Engine Model Year:]],EFTable[],3,FALSE),VLOOKUP(Table2[[#This Row],[New Engine Fuel Type:]],EFTable[],3,FALSE)))</f>
        <v/>
      </c>
      <c r="BC138" s="187" t="str">
        <f>IF(Table2[[#This Row],[Counter Number]]="","",Table2[[#This Row],[Old Bus NOx Emissions (tons/yr)]]-Table2[[#This Row],[New Bus NOx Emissions (tons/yr)]])</f>
        <v/>
      </c>
      <c r="BD138" s="188" t="str">
        <f>IF(Table2[[#This Row],[Counter Number]]="","",Table2[[#This Row],[Reduction Bus NOx Emissions (tons/yr)]]/Table2[[#This Row],[Old Bus NOx Emissions (tons/yr)]])</f>
        <v/>
      </c>
      <c r="BE138" s="175" t="str">
        <f>IF(Table2[[#This Row],[Counter Number]]="","",Table2[[#This Row],[Reduction Bus NOx Emissions (tons/yr)]]*Table2[[#This Row],[Remaining Life:]])</f>
        <v/>
      </c>
      <c r="BF138" s="189" t="str">
        <f>IF(Table2[[#This Row],[Counter Number]]="","",IF(Table2[[#This Row],[Lifetime NOx Reduction (tons)]]=0,"NA",Table2[[#This Row],[Upgrade Cost Per Unit]]/Table2[[#This Row],[Lifetime NOx Reduction (tons)]]))</f>
        <v/>
      </c>
      <c r="BG138" s="190" t="str">
        <f>IF(Table2[[#This Row],[Counter Number]]="","",Table2[[#This Row],[Annual Miles Traveled:]]*VLOOKUP(Table2[[#This Row],[Engine Model Year:]],EF!$A$2:$G$27,4,FALSE))</f>
        <v/>
      </c>
      <c r="BH138" s="173" t="str">
        <f>IF(Table2[[#This Row],[Counter Number]]="","",Table2[[#This Row],[Annual Miles Traveled:]]*IF(Table2[[#This Row],[New Engine Fuel Type:]]="ULSD",VLOOKUP(Table2[[#This Row],[New Engine Model Year:]],EFTable[],4,FALSE),VLOOKUP(Table2[[#This Row],[New Engine Fuel Type:]],EFTable[],4,FALSE)))</f>
        <v/>
      </c>
      <c r="BI138" s="191" t="str">
        <f>IF(Table2[[#This Row],[Counter Number]]="","",Table2[[#This Row],[Old Bus PM2.5 Emissions (tons/yr)]]-Table2[[#This Row],[New Bus PM2.5 Emissions (tons/yr)]])</f>
        <v/>
      </c>
      <c r="BJ138" s="192" t="str">
        <f>IF(Table2[[#This Row],[Counter Number]]="","",Table2[[#This Row],[Reduction Bus PM2.5 Emissions (tons/yr)]]/Table2[[#This Row],[Old Bus PM2.5 Emissions (tons/yr)]])</f>
        <v/>
      </c>
      <c r="BK138" s="193" t="str">
        <f>IF(Table2[[#This Row],[Counter Number]]="","",Table2[[#This Row],[Reduction Bus PM2.5 Emissions (tons/yr)]]*Table2[[#This Row],[Remaining Life:]])</f>
        <v/>
      </c>
      <c r="BL138" s="194" t="str">
        <f>IF(Table2[[#This Row],[Counter Number]]="","",IF(Table2[[#This Row],[Lifetime PM2.5 Reduction (tons)]]=0,"NA",Table2[[#This Row],[Upgrade Cost Per Unit]]/Table2[[#This Row],[Lifetime PM2.5 Reduction (tons)]]))</f>
        <v/>
      </c>
      <c r="BM138" s="179" t="str">
        <f>IF(Table2[[#This Row],[Counter Number]]="","",Table2[[#This Row],[Annual Miles Traveled:]]*VLOOKUP(Table2[[#This Row],[Engine Model Year:]],EF!$A$2:$G$40,5,FALSE))</f>
        <v/>
      </c>
      <c r="BN138" s="173" t="str">
        <f>IF(Table2[[#This Row],[Counter Number]]="","",Table2[[#This Row],[Annual Miles Traveled:]]*IF(Table2[[#This Row],[New Engine Fuel Type:]]="ULSD",VLOOKUP(Table2[[#This Row],[New Engine Model Year:]],EFTable[],5,FALSE),VLOOKUP(Table2[[#This Row],[New Engine Fuel Type:]],EFTable[],5,FALSE)))</f>
        <v/>
      </c>
      <c r="BO138" s="190" t="str">
        <f>IF(Table2[[#This Row],[Counter Number]]="","",Table2[[#This Row],[Old Bus HC Emissions (tons/yr)]]-Table2[[#This Row],[New Bus HC Emissions (tons/yr)]])</f>
        <v/>
      </c>
      <c r="BP138" s="188" t="str">
        <f>IF(Table2[[#This Row],[Counter Number]]="","",Table2[[#This Row],[Reduction Bus HC Emissions (tons/yr)]]/Table2[[#This Row],[Old Bus HC Emissions (tons/yr)]])</f>
        <v/>
      </c>
      <c r="BQ138" s="193" t="str">
        <f>IF(Table2[[#This Row],[Counter Number]]="","",Table2[[#This Row],[Reduction Bus HC Emissions (tons/yr)]]*Table2[[#This Row],[Remaining Life:]])</f>
        <v/>
      </c>
      <c r="BR138" s="194" t="str">
        <f>IF(Table2[[#This Row],[Counter Number]]="","",IF(Table2[[#This Row],[Lifetime HC Reduction (tons)]]=0,"NA",Table2[[#This Row],[Upgrade Cost Per Unit]]/Table2[[#This Row],[Lifetime HC Reduction (tons)]]))</f>
        <v/>
      </c>
      <c r="BS138" s="191" t="str">
        <f>IF(Table2[[#This Row],[Counter Number]]="","",Table2[[#This Row],[Annual Miles Traveled:]]*VLOOKUP(Table2[[#This Row],[Engine Model Year:]],EF!$A$2:$G$27,6,FALSE))</f>
        <v/>
      </c>
      <c r="BT138" s="173" t="str">
        <f>IF(Table2[[#This Row],[Counter Number]]="","",Table2[[#This Row],[Annual Miles Traveled:]]*IF(Table2[[#This Row],[New Engine Fuel Type:]]="ULSD",VLOOKUP(Table2[[#This Row],[New Engine Model Year:]],EFTable[],6,FALSE),VLOOKUP(Table2[[#This Row],[New Engine Fuel Type:]],EFTable[],6,FALSE)))</f>
        <v/>
      </c>
      <c r="BU138" s="190" t="str">
        <f>IF(Table2[[#This Row],[Counter Number]]="","",Table2[[#This Row],[Old Bus CO Emissions (tons/yr)]]-Table2[[#This Row],[New Bus CO Emissions (tons/yr)]])</f>
        <v/>
      </c>
      <c r="BV138" s="188" t="str">
        <f>IF(Table2[[#This Row],[Counter Number]]="","",Table2[[#This Row],[Reduction Bus CO Emissions (tons/yr)]]/Table2[[#This Row],[Old Bus CO Emissions (tons/yr)]])</f>
        <v/>
      </c>
      <c r="BW138" s="193" t="str">
        <f>IF(Table2[[#This Row],[Counter Number]]="","",Table2[[#This Row],[Reduction Bus CO Emissions (tons/yr)]]*Table2[[#This Row],[Remaining Life:]])</f>
        <v/>
      </c>
      <c r="BX138" s="194" t="str">
        <f>IF(Table2[[#This Row],[Counter Number]]="","",IF(Table2[[#This Row],[Lifetime CO Reduction (tons)]]=0,"NA",Table2[[#This Row],[Upgrade Cost Per Unit]]/Table2[[#This Row],[Lifetime CO Reduction (tons)]]))</f>
        <v/>
      </c>
      <c r="BY138" s="180" t="str">
        <f>IF(Table2[[#This Row],[Counter Number]]="","",Table2[[#This Row],[Old ULSD Used (gal):]]*VLOOKUP(Table2[[#This Row],[Engine Model Year:]],EF!$A$2:$G$27,7,FALSE))</f>
        <v/>
      </c>
      <c r="BZ13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8" s="195" t="str">
        <f>IF(Table2[[#This Row],[Counter Number]]="","",Table2[[#This Row],[Old Bus CO2 Emissions (tons/yr)]]-Table2[[#This Row],[New Bus CO2 Emissions (tons/yr)]])</f>
        <v/>
      </c>
      <c r="CB138" s="188" t="str">
        <f>IF(Table2[[#This Row],[Counter Number]]="","",Table2[[#This Row],[Reduction Bus CO2 Emissions (tons/yr)]]/Table2[[#This Row],[Old Bus CO2 Emissions (tons/yr)]])</f>
        <v/>
      </c>
      <c r="CC138" s="195" t="str">
        <f>IF(Table2[[#This Row],[Counter Number]]="","",Table2[[#This Row],[Reduction Bus CO2 Emissions (tons/yr)]]*Table2[[#This Row],[Remaining Life:]])</f>
        <v/>
      </c>
      <c r="CD138" s="194" t="str">
        <f>IF(Table2[[#This Row],[Counter Number]]="","",IF(Table2[[#This Row],[Lifetime CO2 Reduction (tons)]]=0,"NA",Table2[[#This Row],[Upgrade Cost Per Unit]]/Table2[[#This Row],[Lifetime CO2 Reduction (tons)]]))</f>
        <v/>
      </c>
      <c r="CE138" s="182" t="str">
        <f>IF(Table2[[#This Row],[Counter Number]]="","",IF(Table2[[#This Row],[New ULSD Used (gal):]]="",Table2[[#This Row],[Old ULSD Used (gal):]],Table2[[#This Row],[Old ULSD Used (gal):]]-Table2[[#This Row],[New ULSD Used (gal):]]))</f>
        <v/>
      </c>
      <c r="CF138" s="196" t="str">
        <f>IF(Table2[[#This Row],[Counter Number]]="","",Table2[[#This Row],[Diesel Fuel Reduction (gal/yr)]]/Table2[[#This Row],[Old ULSD Used (gal):]])</f>
        <v/>
      </c>
      <c r="CG138" s="197" t="str">
        <f>IF(Table2[[#This Row],[Counter Number]]="","",Table2[[#This Row],[Diesel Fuel Reduction (gal/yr)]]*Table2[[#This Row],[Remaining Life:]])</f>
        <v/>
      </c>
    </row>
    <row r="139" spans="1:85">
      <c r="A139" s="184" t="str">
        <f>IF(A138&lt;Application!$D$24,A138+1,"")</f>
        <v/>
      </c>
      <c r="B139" s="60" t="str">
        <f>IF(Table2[[#This Row],[Counter Number]]="","",Application!$D$16)</f>
        <v/>
      </c>
      <c r="C139" s="60" t="str">
        <f>IF(Table2[[#This Row],[Counter Number]]="","",Application!$D$14)</f>
        <v/>
      </c>
      <c r="D139" s="60" t="str">
        <f>IF(Table2[[#This Row],[Counter Number]]="","",Table1[[#This Row],[Old Bus Number]])</f>
        <v/>
      </c>
      <c r="E139" s="60" t="str">
        <f>IF(Table2[[#This Row],[Counter Number]]="","",Application!$D$15)</f>
        <v/>
      </c>
      <c r="F139" s="60" t="str">
        <f>IF(Table2[[#This Row],[Counter Number]]="","","On Highway")</f>
        <v/>
      </c>
      <c r="G139" s="60" t="str">
        <f>IF(Table2[[#This Row],[Counter Number]]="","",I139)</f>
        <v/>
      </c>
      <c r="H139" s="60" t="str">
        <f>IF(Table2[[#This Row],[Counter Number]]="","","Georgia")</f>
        <v/>
      </c>
      <c r="I139" s="60" t="str">
        <f>IF(Table2[[#This Row],[Counter Number]]="","",Application!$D$16)</f>
        <v/>
      </c>
      <c r="J139" s="60" t="str">
        <f>IF(Table2[[#This Row],[Counter Number]]="","",Application!$D$21)</f>
        <v/>
      </c>
      <c r="K139" s="60" t="str">
        <f>IF(Table2[[#This Row],[Counter Number]]="","",Application!$J$21)</f>
        <v/>
      </c>
      <c r="L139" s="60" t="str">
        <f>IF(Table2[[#This Row],[Counter Number]]="","","School Bus")</f>
        <v/>
      </c>
      <c r="M139" s="60" t="str">
        <f>IF(Table2[[#This Row],[Counter Number]]="","","School Bus")</f>
        <v/>
      </c>
      <c r="N139" s="60" t="str">
        <f>IF(Table2[[#This Row],[Counter Number]]="","",1)</f>
        <v/>
      </c>
      <c r="O139" s="60" t="str">
        <f>IF(Table2[[#This Row],[Counter Number]]="","",Table1[[#This Row],[Vehicle Identification Number(s):]])</f>
        <v/>
      </c>
      <c r="P139" s="60" t="str">
        <f>IF(Table2[[#This Row],[Counter Number]]="","",Table1[[#This Row],[Old Bus Manufacturer:]])</f>
        <v/>
      </c>
      <c r="Q139" s="60" t="str">
        <f>IF(Table2[[#This Row],[Counter Number]]="","",Table1[[#This Row],[Vehicle Model:]])</f>
        <v/>
      </c>
      <c r="R139" s="165" t="str">
        <f>IF(Table2[[#This Row],[Counter Number]]="","",Table1[[#This Row],[Vehicle Model Year:]])</f>
        <v/>
      </c>
      <c r="S139" s="60" t="str">
        <f>IF(Table2[[#This Row],[Counter Number]]="","",Table1[[#This Row],[Engine Serial Number(s):]])</f>
        <v/>
      </c>
      <c r="T139" s="60" t="str">
        <f>IF(Table2[[#This Row],[Counter Number]]="","",Table1[[#This Row],[Engine Make:]])</f>
        <v/>
      </c>
      <c r="U139" s="60" t="str">
        <f>IF(Table2[[#This Row],[Counter Number]]="","",Table1[[#This Row],[Engine Model:]])</f>
        <v/>
      </c>
      <c r="V139" s="165" t="str">
        <f>IF(Table2[[#This Row],[Counter Number]]="","",Table1[[#This Row],[Engine Model Year:]])</f>
        <v/>
      </c>
      <c r="W139" s="60" t="str">
        <f>IF(Table2[[#This Row],[Counter Number]]="","","NA")</f>
        <v/>
      </c>
      <c r="X139" s="165" t="str">
        <f>IF(Table2[[#This Row],[Counter Number]]="","",Table1[[#This Row],[Engine Horsepower (HP):]])</f>
        <v/>
      </c>
      <c r="Y139" s="165" t="str">
        <f>IF(Table2[[#This Row],[Counter Number]]="","",Table1[[#This Row],[Engine Cylinder Displacement (L):]]&amp;" L")</f>
        <v/>
      </c>
      <c r="Z139" s="165" t="str">
        <f>IF(Table2[[#This Row],[Counter Number]]="","",Table1[[#This Row],[Engine Number of Cylinders:]])</f>
        <v/>
      </c>
      <c r="AA139" s="166" t="str">
        <f>IF(Table2[[#This Row],[Counter Number]]="","",Table1[[#This Row],[Engine Family Name:]])</f>
        <v/>
      </c>
      <c r="AB139" s="60" t="str">
        <f>IF(Table2[[#This Row],[Counter Number]]="","","ULSD")</f>
        <v/>
      </c>
      <c r="AC139" s="167" t="str">
        <f>IF(Table2[[#This Row],[Counter Number]]="","",Table2[[#This Row],[Annual Miles Traveled:]]/Table1[[#This Row],[Old Fuel (mpg)]])</f>
        <v/>
      </c>
      <c r="AD139" s="60" t="str">
        <f>IF(Table2[[#This Row],[Counter Number]]="","","NA")</f>
        <v/>
      </c>
      <c r="AE139" s="168" t="str">
        <f>IF(Table2[[#This Row],[Counter Number]]="","",Table1[[#This Row],[Annual Miles Traveled]])</f>
        <v/>
      </c>
      <c r="AF139" s="169" t="str">
        <f>IF(Table2[[#This Row],[Counter Number]]="","",Table1[[#This Row],[Annual Idling Hours:]])</f>
        <v/>
      </c>
      <c r="AG139" s="60" t="str">
        <f>IF(Table2[[#This Row],[Counter Number]]="","","NA")</f>
        <v/>
      </c>
      <c r="AH139" s="165" t="str">
        <f>IF(Table2[[#This Row],[Counter Number]]="","",IF(Application!$J$25="Set Policy",Table1[[#This Row],[Remaining Life (years)         Set Policy]],Table1[[#This Row],[Remaining Life (years)               Case-by-Case]]))</f>
        <v/>
      </c>
      <c r="AI139" s="165" t="str">
        <f>IF(Table2[[#This Row],[Counter Number]]="","",IF(Application!$J$25="Case-by-Case","NA",Table2[[#This Row],[Fiscal Year of EPA Funds Used:]]+Table2[[#This Row],[Remaining Life:]]))</f>
        <v/>
      </c>
      <c r="AJ139" s="165"/>
      <c r="AK139" s="170" t="str">
        <f>IF(Table2[[#This Row],[Counter Number]]="","",Application!$D$14+1)</f>
        <v/>
      </c>
      <c r="AL139" s="60" t="str">
        <f>IF(Table2[[#This Row],[Counter Number]]="","","Vehicle Replacement")</f>
        <v/>
      </c>
      <c r="AM13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9" s="171" t="str">
        <f>IF(Table2[[#This Row],[Counter Number]]="","",Table1[[#This Row],[Cost of New Bus:]])</f>
        <v/>
      </c>
      <c r="AO139" s="60" t="str">
        <f>IF(Table2[[#This Row],[Counter Number]]="","","NA")</f>
        <v/>
      </c>
      <c r="AP139" s="165" t="str">
        <f>IF(Table2[[#This Row],[Counter Number]]="","",Table1[[#This Row],[New Engine Model Year:]])</f>
        <v/>
      </c>
      <c r="AQ139" s="60" t="str">
        <f>IF(Table2[[#This Row],[Counter Number]]="","","NA")</f>
        <v/>
      </c>
      <c r="AR139" s="165" t="str">
        <f>IF(Table2[[#This Row],[Counter Number]]="","",Table1[[#This Row],[New Engine Horsepower (HP):]])</f>
        <v/>
      </c>
      <c r="AS139" s="60" t="str">
        <f>IF(Table2[[#This Row],[Counter Number]]="","","NA")</f>
        <v/>
      </c>
      <c r="AT139" s="165" t="str">
        <f>IF(Table2[[#This Row],[Counter Number]]="","",Table1[[#This Row],[New Engine Cylinder Displacement (L):]]&amp;" L")</f>
        <v/>
      </c>
      <c r="AU139" s="114" t="str">
        <f>IF(Table2[[#This Row],[Counter Number]]="","",Table1[[#This Row],[New Engine Number of Cylinders:]])</f>
        <v/>
      </c>
      <c r="AV139" s="60" t="str">
        <f>IF(Table2[[#This Row],[Counter Number]]="","",Table1[[#This Row],[New Engine Family Name:]])</f>
        <v/>
      </c>
      <c r="AW13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9" s="60" t="str">
        <f>IF(Table2[[#This Row],[Counter Number]]="","","NA")</f>
        <v/>
      </c>
      <c r="AY139" s="172" t="str">
        <f>IF(Table2[[#This Row],[Counter Number]]="","",IF(Table2[[#This Row],[New Engine Fuel Type:]]="ULSD",Table1[[#This Row],[Annual Miles Traveled]]/Table1[[#This Row],[New Fuel (mpg) if Diesel]],""))</f>
        <v/>
      </c>
      <c r="AZ139" s="60"/>
      <c r="BA139" s="173" t="str">
        <f>IF(Table2[[#This Row],[Counter Number]]="","",Table2[[#This Row],[Annual Miles Traveled:]]*VLOOKUP(Table2[[#This Row],[Engine Model Year:]],EFTable[],3,FALSE))</f>
        <v/>
      </c>
      <c r="BB139" s="173" t="str">
        <f>IF(Table2[[#This Row],[Counter Number]]="","",Table2[[#This Row],[Annual Miles Traveled:]]*IF(Table2[[#This Row],[New Engine Fuel Type:]]="ULSD",VLOOKUP(Table2[[#This Row],[New Engine Model Year:]],EFTable[],3,FALSE),VLOOKUP(Table2[[#This Row],[New Engine Fuel Type:]],EFTable[],3,FALSE)))</f>
        <v/>
      </c>
      <c r="BC139" s="187" t="str">
        <f>IF(Table2[[#This Row],[Counter Number]]="","",Table2[[#This Row],[Old Bus NOx Emissions (tons/yr)]]-Table2[[#This Row],[New Bus NOx Emissions (tons/yr)]])</f>
        <v/>
      </c>
      <c r="BD139" s="188" t="str">
        <f>IF(Table2[[#This Row],[Counter Number]]="","",Table2[[#This Row],[Reduction Bus NOx Emissions (tons/yr)]]/Table2[[#This Row],[Old Bus NOx Emissions (tons/yr)]])</f>
        <v/>
      </c>
      <c r="BE139" s="175" t="str">
        <f>IF(Table2[[#This Row],[Counter Number]]="","",Table2[[#This Row],[Reduction Bus NOx Emissions (tons/yr)]]*Table2[[#This Row],[Remaining Life:]])</f>
        <v/>
      </c>
      <c r="BF139" s="189" t="str">
        <f>IF(Table2[[#This Row],[Counter Number]]="","",IF(Table2[[#This Row],[Lifetime NOx Reduction (tons)]]=0,"NA",Table2[[#This Row],[Upgrade Cost Per Unit]]/Table2[[#This Row],[Lifetime NOx Reduction (tons)]]))</f>
        <v/>
      </c>
      <c r="BG139" s="190" t="str">
        <f>IF(Table2[[#This Row],[Counter Number]]="","",Table2[[#This Row],[Annual Miles Traveled:]]*VLOOKUP(Table2[[#This Row],[Engine Model Year:]],EF!$A$2:$G$27,4,FALSE))</f>
        <v/>
      </c>
      <c r="BH139" s="173" t="str">
        <f>IF(Table2[[#This Row],[Counter Number]]="","",Table2[[#This Row],[Annual Miles Traveled:]]*IF(Table2[[#This Row],[New Engine Fuel Type:]]="ULSD",VLOOKUP(Table2[[#This Row],[New Engine Model Year:]],EFTable[],4,FALSE),VLOOKUP(Table2[[#This Row],[New Engine Fuel Type:]],EFTable[],4,FALSE)))</f>
        <v/>
      </c>
      <c r="BI139" s="191" t="str">
        <f>IF(Table2[[#This Row],[Counter Number]]="","",Table2[[#This Row],[Old Bus PM2.5 Emissions (tons/yr)]]-Table2[[#This Row],[New Bus PM2.5 Emissions (tons/yr)]])</f>
        <v/>
      </c>
      <c r="BJ139" s="192" t="str">
        <f>IF(Table2[[#This Row],[Counter Number]]="","",Table2[[#This Row],[Reduction Bus PM2.5 Emissions (tons/yr)]]/Table2[[#This Row],[Old Bus PM2.5 Emissions (tons/yr)]])</f>
        <v/>
      </c>
      <c r="BK139" s="193" t="str">
        <f>IF(Table2[[#This Row],[Counter Number]]="","",Table2[[#This Row],[Reduction Bus PM2.5 Emissions (tons/yr)]]*Table2[[#This Row],[Remaining Life:]])</f>
        <v/>
      </c>
      <c r="BL139" s="194" t="str">
        <f>IF(Table2[[#This Row],[Counter Number]]="","",IF(Table2[[#This Row],[Lifetime PM2.5 Reduction (tons)]]=0,"NA",Table2[[#This Row],[Upgrade Cost Per Unit]]/Table2[[#This Row],[Lifetime PM2.5 Reduction (tons)]]))</f>
        <v/>
      </c>
      <c r="BM139" s="179" t="str">
        <f>IF(Table2[[#This Row],[Counter Number]]="","",Table2[[#This Row],[Annual Miles Traveled:]]*VLOOKUP(Table2[[#This Row],[Engine Model Year:]],EF!$A$2:$G$40,5,FALSE))</f>
        <v/>
      </c>
      <c r="BN139" s="173" t="str">
        <f>IF(Table2[[#This Row],[Counter Number]]="","",Table2[[#This Row],[Annual Miles Traveled:]]*IF(Table2[[#This Row],[New Engine Fuel Type:]]="ULSD",VLOOKUP(Table2[[#This Row],[New Engine Model Year:]],EFTable[],5,FALSE),VLOOKUP(Table2[[#This Row],[New Engine Fuel Type:]],EFTable[],5,FALSE)))</f>
        <v/>
      </c>
      <c r="BO139" s="190" t="str">
        <f>IF(Table2[[#This Row],[Counter Number]]="","",Table2[[#This Row],[Old Bus HC Emissions (tons/yr)]]-Table2[[#This Row],[New Bus HC Emissions (tons/yr)]])</f>
        <v/>
      </c>
      <c r="BP139" s="188" t="str">
        <f>IF(Table2[[#This Row],[Counter Number]]="","",Table2[[#This Row],[Reduction Bus HC Emissions (tons/yr)]]/Table2[[#This Row],[Old Bus HC Emissions (tons/yr)]])</f>
        <v/>
      </c>
      <c r="BQ139" s="193" t="str">
        <f>IF(Table2[[#This Row],[Counter Number]]="","",Table2[[#This Row],[Reduction Bus HC Emissions (tons/yr)]]*Table2[[#This Row],[Remaining Life:]])</f>
        <v/>
      </c>
      <c r="BR139" s="194" t="str">
        <f>IF(Table2[[#This Row],[Counter Number]]="","",IF(Table2[[#This Row],[Lifetime HC Reduction (tons)]]=0,"NA",Table2[[#This Row],[Upgrade Cost Per Unit]]/Table2[[#This Row],[Lifetime HC Reduction (tons)]]))</f>
        <v/>
      </c>
      <c r="BS139" s="191" t="str">
        <f>IF(Table2[[#This Row],[Counter Number]]="","",Table2[[#This Row],[Annual Miles Traveled:]]*VLOOKUP(Table2[[#This Row],[Engine Model Year:]],EF!$A$2:$G$27,6,FALSE))</f>
        <v/>
      </c>
      <c r="BT139" s="173" t="str">
        <f>IF(Table2[[#This Row],[Counter Number]]="","",Table2[[#This Row],[Annual Miles Traveled:]]*IF(Table2[[#This Row],[New Engine Fuel Type:]]="ULSD",VLOOKUP(Table2[[#This Row],[New Engine Model Year:]],EFTable[],6,FALSE),VLOOKUP(Table2[[#This Row],[New Engine Fuel Type:]],EFTable[],6,FALSE)))</f>
        <v/>
      </c>
      <c r="BU139" s="190" t="str">
        <f>IF(Table2[[#This Row],[Counter Number]]="","",Table2[[#This Row],[Old Bus CO Emissions (tons/yr)]]-Table2[[#This Row],[New Bus CO Emissions (tons/yr)]])</f>
        <v/>
      </c>
      <c r="BV139" s="188" t="str">
        <f>IF(Table2[[#This Row],[Counter Number]]="","",Table2[[#This Row],[Reduction Bus CO Emissions (tons/yr)]]/Table2[[#This Row],[Old Bus CO Emissions (tons/yr)]])</f>
        <v/>
      </c>
      <c r="BW139" s="193" t="str">
        <f>IF(Table2[[#This Row],[Counter Number]]="","",Table2[[#This Row],[Reduction Bus CO Emissions (tons/yr)]]*Table2[[#This Row],[Remaining Life:]])</f>
        <v/>
      </c>
      <c r="BX139" s="194" t="str">
        <f>IF(Table2[[#This Row],[Counter Number]]="","",IF(Table2[[#This Row],[Lifetime CO Reduction (tons)]]=0,"NA",Table2[[#This Row],[Upgrade Cost Per Unit]]/Table2[[#This Row],[Lifetime CO Reduction (tons)]]))</f>
        <v/>
      </c>
      <c r="BY139" s="180" t="str">
        <f>IF(Table2[[#This Row],[Counter Number]]="","",Table2[[#This Row],[Old ULSD Used (gal):]]*VLOOKUP(Table2[[#This Row],[Engine Model Year:]],EF!$A$2:$G$27,7,FALSE))</f>
        <v/>
      </c>
      <c r="BZ13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9" s="195" t="str">
        <f>IF(Table2[[#This Row],[Counter Number]]="","",Table2[[#This Row],[Old Bus CO2 Emissions (tons/yr)]]-Table2[[#This Row],[New Bus CO2 Emissions (tons/yr)]])</f>
        <v/>
      </c>
      <c r="CB139" s="188" t="str">
        <f>IF(Table2[[#This Row],[Counter Number]]="","",Table2[[#This Row],[Reduction Bus CO2 Emissions (tons/yr)]]/Table2[[#This Row],[Old Bus CO2 Emissions (tons/yr)]])</f>
        <v/>
      </c>
      <c r="CC139" s="195" t="str">
        <f>IF(Table2[[#This Row],[Counter Number]]="","",Table2[[#This Row],[Reduction Bus CO2 Emissions (tons/yr)]]*Table2[[#This Row],[Remaining Life:]])</f>
        <v/>
      </c>
      <c r="CD139" s="194" t="str">
        <f>IF(Table2[[#This Row],[Counter Number]]="","",IF(Table2[[#This Row],[Lifetime CO2 Reduction (tons)]]=0,"NA",Table2[[#This Row],[Upgrade Cost Per Unit]]/Table2[[#This Row],[Lifetime CO2 Reduction (tons)]]))</f>
        <v/>
      </c>
      <c r="CE139" s="182" t="str">
        <f>IF(Table2[[#This Row],[Counter Number]]="","",IF(Table2[[#This Row],[New ULSD Used (gal):]]="",Table2[[#This Row],[Old ULSD Used (gal):]],Table2[[#This Row],[Old ULSD Used (gal):]]-Table2[[#This Row],[New ULSD Used (gal):]]))</f>
        <v/>
      </c>
      <c r="CF139" s="196" t="str">
        <f>IF(Table2[[#This Row],[Counter Number]]="","",Table2[[#This Row],[Diesel Fuel Reduction (gal/yr)]]/Table2[[#This Row],[Old ULSD Used (gal):]])</f>
        <v/>
      </c>
      <c r="CG139" s="197" t="str">
        <f>IF(Table2[[#This Row],[Counter Number]]="","",Table2[[#This Row],[Diesel Fuel Reduction (gal/yr)]]*Table2[[#This Row],[Remaining Life:]])</f>
        <v/>
      </c>
    </row>
    <row r="140" spans="1:85">
      <c r="A140" s="184" t="str">
        <f>IF(A139&lt;Application!$D$24,A139+1,"")</f>
        <v/>
      </c>
      <c r="B140" s="60" t="str">
        <f>IF(Table2[[#This Row],[Counter Number]]="","",Application!$D$16)</f>
        <v/>
      </c>
      <c r="C140" s="60" t="str">
        <f>IF(Table2[[#This Row],[Counter Number]]="","",Application!$D$14)</f>
        <v/>
      </c>
      <c r="D140" s="60" t="str">
        <f>IF(Table2[[#This Row],[Counter Number]]="","",Table1[[#This Row],[Old Bus Number]])</f>
        <v/>
      </c>
      <c r="E140" s="60" t="str">
        <f>IF(Table2[[#This Row],[Counter Number]]="","",Application!$D$15)</f>
        <v/>
      </c>
      <c r="F140" s="60" t="str">
        <f>IF(Table2[[#This Row],[Counter Number]]="","","On Highway")</f>
        <v/>
      </c>
      <c r="G140" s="60" t="str">
        <f>IF(Table2[[#This Row],[Counter Number]]="","",I140)</f>
        <v/>
      </c>
      <c r="H140" s="60" t="str">
        <f>IF(Table2[[#This Row],[Counter Number]]="","","Georgia")</f>
        <v/>
      </c>
      <c r="I140" s="60" t="str">
        <f>IF(Table2[[#This Row],[Counter Number]]="","",Application!$D$16)</f>
        <v/>
      </c>
      <c r="J140" s="60" t="str">
        <f>IF(Table2[[#This Row],[Counter Number]]="","",Application!$D$21)</f>
        <v/>
      </c>
      <c r="K140" s="60" t="str">
        <f>IF(Table2[[#This Row],[Counter Number]]="","",Application!$J$21)</f>
        <v/>
      </c>
      <c r="L140" s="60" t="str">
        <f>IF(Table2[[#This Row],[Counter Number]]="","","School Bus")</f>
        <v/>
      </c>
      <c r="M140" s="60" t="str">
        <f>IF(Table2[[#This Row],[Counter Number]]="","","School Bus")</f>
        <v/>
      </c>
      <c r="N140" s="60" t="str">
        <f>IF(Table2[[#This Row],[Counter Number]]="","",1)</f>
        <v/>
      </c>
      <c r="O140" s="60" t="str">
        <f>IF(Table2[[#This Row],[Counter Number]]="","",Table1[[#This Row],[Vehicle Identification Number(s):]])</f>
        <v/>
      </c>
      <c r="P140" s="60" t="str">
        <f>IF(Table2[[#This Row],[Counter Number]]="","",Table1[[#This Row],[Old Bus Manufacturer:]])</f>
        <v/>
      </c>
      <c r="Q140" s="60" t="str">
        <f>IF(Table2[[#This Row],[Counter Number]]="","",Table1[[#This Row],[Vehicle Model:]])</f>
        <v/>
      </c>
      <c r="R140" s="165" t="str">
        <f>IF(Table2[[#This Row],[Counter Number]]="","",Table1[[#This Row],[Vehicle Model Year:]])</f>
        <v/>
      </c>
      <c r="S140" s="60" t="str">
        <f>IF(Table2[[#This Row],[Counter Number]]="","",Table1[[#This Row],[Engine Serial Number(s):]])</f>
        <v/>
      </c>
      <c r="T140" s="60" t="str">
        <f>IF(Table2[[#This Row],[Counter Number]]="","",Table1[[#This Row],[Engine Make:]])</f>
        <v/>
      </c>
      <c r="U140" s="60" t="str">
        <f>IF(Table2[[#This Row],[Counter Number]]="","",Table1[[#This Row],[Engine Model:]])</f>
        <v/>
      </c>
      <c r="V140" s="165" t="str">
        <f>IF(Table2[[#This Row],[Counter Number]]="","",Table1[[#This Row],[Engine Model Year:]])</f>
        <v/>
      </c>
      <c r="W140" s="60" t="str">
        <f>IF(Table2[[#This Row],[Counter Number]]="","","NA")</f>
        <v/>
      </c>
      <c r="X140" s="165" t="str">
        <f>IF(Table2[[#This Row],[Counter Number]]="","",Table1[[#This Row],[Engine Horsepower (HP):]])</f>
        <v/>
      </c>
      <c r="Y140" s="165" t="str">
        <f>IF(Table2[[#This Row],[Counter Number]]="","",Table1[[#This Row],[Engine Cylinder Displacement (L):]]&amp;" L")</f>
        <v/>
      </c>
      <c r="Z140" s="165" t="str">
        <f>IF(Table2[[#This Row],[Counter Number]]="","",Table1[[#This Row],[Engine Number of Cylinders:]])</f>
        <v/>
      </c>
      <c r="AA140" s="166" t="str">
        <f>IF(Table2[[#This Row],[Counter Number]]="","",Table1[[#This Row],[Engine Family Name:]])</f>
        <v/>
      </c>
      <c r="AB140" s="60" t="str">
        <f>IF(Table2[[#This Row],[Counter Number]]="","","ULSD")</f>
        <v/>
      </c>
      <c r="AC140" s="167" t="str">
        <f>IF(Table2[[#This Row],[Counter Number]]="","",Table2[[#This Row],[Annual Miles Traveled:]]/Table1[[#This Row],[Old Fuel (mpg)]])</f>
        <v/>
      </c>
      <c r="AD140" s="60" t="str">
        <f>IF(Table2[[#This Row],[Counter Number]]="","","NA")</f>
        <v/>
      </c>
      <c r="AE140" s="168" t="str">
        <f>IF(Table2[[#This Row],[Counter Number]]="","",Table1[[#This Row],[Annual Miles Traveled]])</f>
        <v/>
      </c>
      <c r="AF140" s="169" t="str">
        <f>IF(Table2[[#This Row],[Counter Number]]="","",Table1[[#This Row],[Annual Idling Hours:]])</f>
        <v/>
      </c>
      <c r="AG140" s="60" t="str">
        <f>IF(Table2[[#This Row],[Counter Number]]="","","NA")</f>
        <v/>
      </c>
      <c r="AH140" s="165" t="str">
        <f>IF(Table2[[#This Row],[Counter Number]]="","",IF(Application!$J$25="Set Policy",Table1[[#This Row],[Remaining Life (years)         Set Policy]],Table1[[#This Row],[Remaining Life (years)               Case-by-Case]]))</f>
        <v/>
      </c>
      <c r="AI140" s="165" t="str">
        <f>IF(Table2[[#This Row],[Counter Number]]="","",IF(Application!$J$25="Case-by-Case","NA",Table2[[#This Row],[Fiscal Year of EPA Funds Used:]]+Table2[[#This Row],[Remaining Life:]]))</f>
        <v/>
      </c>
      <c r="AJ140" s="165"/>
      <c r="AK140" s="170" t="str">
        <f>IF(Table2[[#This Row],[Counter Number]]="","",Application!$D$14+1)</f>
        <v/>
      </c>
      <c r="AL140" s="60" t="str">
        <f>IF(Table2[[#This Row],[Counter Number]]="","","Vehicle Replacement")</f>
        <v/>
      </c>
      <c r="AM14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0" s="171" t="str">
        <f>IF(Table2[[#This Row],[Counter Number]]="","",Table1[[#This Row],[Cost of New Bus:]])</f>
        <v/>
      </c>
      <c r="AO140" s="60" t="str">
        <f>IF(Table2[[#This Row],[Counter Number]]="","","NA")</f>
        <v/>
      </c>
      <c r="AP140" s="165" t="str">
        <f>IF(Table2[[#This Row],[Counter Number]]="","",Table1[[#This Row],[New Engine Model Year:]])</f>
        <v/>
      </c>
      <c r="AQ140" s="60" t="str">
        <f>IF(Table2[[#This Row],[Counter Number]]="","","NA")</f>
        <v/>
      </c>
      <c r="AR140" s="165" t="str">
        <f>IF(Table2[[#This Row],[Counter Number]]="","",Table1[[#This Row],[New Engine Horsepower (HP):]])</f>
        <v/>
      </c>
      <c r="AS140" s="60" t="str">
        <f>IF(Table2[[#This Row],[Counter Number]]="","","NA")</f>
        <v/>
      </c>
      <c r="AT140" s="165" t="str">
        <f>IF(Table2[[#This Row],[Counter Number]]="","",Table1[[#This Row],[New Engine Cylinder Displacement (L):]]&amp;" L")</f>
        <v/>
      </c>
      <c r="AU140" s="114" t="str">
        <f>IF(Table2[[#This Row],[Counter Number]]="","",Table1[[#This Row],[New Engine Number of Cylinders:]])</f>
        <v/>
      </c>
      <c r="AV140" s="60" t="str">
        <f>IF(Table2[[#This Row],[Counter Number]]="","",Table1[[#This Row],[New Engine Family Name:]])</f>
        <v/>
      </c>
      <c r="AW14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0" s="60" t="str">
        <f>IF(Table2[[#This Row],[Counter Number]]="","","NA")</f>
        <v/>
      </c>
      <c r="AY140" s="172" t="str">
        <f>IF(Table2[[#This Row],[Counter Number]]="","",IF(Table2[[#This Row],[New Engine Fuel Type:]]="ULSD",Table1[[#This Row],[Annual Miles Traveled]]/Table1[[#This Row],[New Fuel (mpg) if Diesel]],""))</f>
        <v/>
      </c>
      <c r="AZ140" s="60"/>
      <c r="BA140" s="173" t="str">
        <f>IF(Table2[[#This Row],[Counter Number]]="","",Table2[[#This Row],[Annual Miles Traveled:]]*VLOOKUP(Table2[[#This Row],[Engine Model Year:]],EFTable[],3,FALSE))</f>
        <v/>
      </c>
      <c r="BB140" s="173" t="str">
        <f>IF(Table2[[#This Row],[Counter Number]]="","",Table2[[#This Row],[Annual Miles Traveled:]]*IF(Table2[[#This Row],[New Engine Fuel Type:]]="ULSD",VLOOKUP(Table2[[#This Row],[New Engine Model Year:]],EFTable[],3,FALSE),VLOOKUP(Table2[[#This Row],[New Engine Fuel Type:]],EFTable[],3,FALSE)))</f>
        <v/>
      </c>
      <c r="BC140" s="187" t="str">
        <f>IF(Table2[[#This Row],[Counter Number]]="","",Table2[[#This Row],[Old Bus NOx Emissions (tons/yr)]]-Table2[[#This Row],[New Bus NOx Emissions (tons/yr)]])</f>
        <v/>
      </c>
      <c r="BD140" s="188" t="str">
        <f>IF(Table2[[#This Row],[Counter Number]]="","",Table2[[#This Row],[Reduction Bus NOx Emissions (tons/yr)]]/Table2[[#This Row],[Old Bus NOx Emissions (tons/yr)]])</f>
        <v/>
      </c>
      <c r="BE140" s="175" t="str">
        <f>IF(Table2[[#This Row],[Counter Number]]="","",Table2[[#This Row],[Reduction Bus NOx Emissions (tons/yr)]]*Table2[[#This Row],[Remaining Life:]])</f>
        <v/>
      </c>
      <c r="BF140" s="189" t="str">
        <f>IF(Table2[[#This Row],[Counter Number]]="","",IF(Table2[[#This Row],[Lifetime NOx Reduction (tons)]]=0,"NA",Table2[[#This Row],[Upgrade Cost Per Unit]]/Table2[[#This Row],[Lifetime NOx Reduction (tons)]]))</f>
        <v/>
      </c>
      <c r="BG140" s="190" t="str">
        <f>IF(Table2[[#This Row],[Counter Number]]="","",Table2[[#This Row],[Annual Miles Traveled:]]*VLOOKUP(Table2[[#This Row],[Engine Model Year:]],EF!$A$2:$G$27,4,FALSE))</f>
        <v/>
      </c>
      <c r="BH140" s="173" t="str">
        <f>IF(Table2[[#This Row],[Counter Number]]="","",Table2[[#This Row],[Annual Miles Traveled:]]*IF(Table2[[#This Row],[New Engine Fuel Type:]]="ULSD",VLOOKUP(Table2[[#This Row],[New Engine Model Year:]],EFTable[],4,FALSE),VLOOKUP(Table2[[#This Row],[New Engine Fuel Type:]],EFTable[],4,FALSE)))</f>
        <v/>
      </c>
      <c r="BI140" s="191" t="str">
        <f>IF(Table2[[#This Row],[Counter Number]]="","",Table2[[#This Row],[Old Bus PM2.5 Emissions (tons/yr)]]-Table2[[#This Row],[New Bus PM2.5 Emissions (tons/yr)]])</f>
        <v/>
      </c>
      <c r="BJ140" s="192" t="str">
        <f>IF(Table2[[#This Row],[Counter Number]]="","",Table2[[#This Row],[Reduction Bus PM2.5 Emissions (tons/yr)]]/Table2[[#This Row],[Old Bus PM2.5 Emissions (tons/yr)]])</f>
        <v/>
      </c>
      <c r="BK140" s="193" t="str">
        <f>IF(Table2[[#This Row],[Counter Number]]="","",Table2[[#This Row],[Reduction Bus PM2.5 Emissions (tons/yr)]]*Table2[[#This Row],[Remaining Life:]])</f>
        <v/>
      </c>
      <c r="BL140" s="194" t="str">
        <f>IF(Table2[[#This Row],[Counter Number]]="","",IF(Table2[[#This Row],[Lifetime PM2.5 Reduction (tons)]]=0,"NA",Table2[[#This Row],[Upgrade Cost Per Unit]]/Table2[[#This Row],[Lifetime PM2.5 Reduction (tons)]]))</f>
        <v/>
      </c>
      <c r="BM140" s="179" t="str">
        <f>IF(Table2[[#This Row],[Counter Number]]="","",Table2[[#This Row],[Annual Miles Traveled:]]*VLOOKUP(Table2[[#This Row],[Engine Model Year:]],EF!$A$2:$G$40,5,FALSE))</f>
        <v/>
      </c>
      <c r="BN140" s="173" t="str">
        <f>IF(Table2[[#This Row],[Counter Number]]="","",Table2[[#This Row],[Annual Miles Traveled:]]*IF(Table2[[#This Row],[New Engine Fuel Type:]]="ULSD",VLOOKUP(Table2[[#This Row],[New Engine Model Year:]],EFTable[],5,FALSE),VLOOKUP(Table2[[#This Row],[New Engine Fuel Type:]],EFTable[],5,FALSE)))</f>
        <v/>
      </c>
      <c r="BO140" s="190" t="str">
        <f>IF(Table2[[#This Row],[Counter Number]]="","",Table2[[#This Row],[Old Bus HC Emissions (tons/yr)]]-Table2[[#This Row],[New Bus HC Emissions (tons/yr)]])</f>
        <v/>
      </c>
      <c r="BP140" s="188" t="str">
        <f>IF(Table2[[#This Row],[Counter Number]]="","",Table2[[#This Row],[Reduction Bus HC Emissions (tons/yr)]]/Table2[[#This Row],[Old Bus HC Emissions (tons/yr)]])</f>
        <v/>
      </c>
      <c r="BQ140" s="193" t="str">
        <f>IF(Table2[[#This Row],[Counter Number]]="","",Table2[[#This Row],[Reduction Bus HC Emissions (tons/yr)]]*Table2[[#This Row],[Remaining Life:]])</f>
        <v/>
      </c>
      <c r="BR140" s="194" t="str">
        <f>IF(Table2[[#This Row],[Counter Number]]="","",IF(Table2[[#This Row],[Lifetime HC Reduction (tons)]]=0,"NA",Table2[[#This Row],[Upgrade Cost Per Unit]]/Table2[[#This Row],[Lifetime HC Reduction (tons)]]))</f>
        <v/>
      </c>
      <c r="BS140" s="191" t="str">
        <f>IF(Table2[[#This Row],[Counter Number]]="","",Table2[[#This Row],[Annual Miles Traveled:]]*VLOOKUP(Table2[[#This Row],[Engine Model Year:]],EF!$A$2:$G$27,6,FALSE))</f>
        <v/>
      </c>
      <c r="BT140" s="173" t="str">
        <f>IF(Table2[[#This Row],[Counter Number]]="","",Table2[[#This Row],[Annual Miles Traveled:]]*IF(Table2[[#This Row],[New Engine Fuel Type:]]="ULSD",VLOOKUP(Table2[[#This Row],[New Engine Model Year:]],EFTable[],6,FALSE),VLOOKUP(Table2[[#This Row],[New Engine Fuel Type:]],EFTable[],6,FALSE)))</f>
        <v/>
      </c>
      <c r="BU140" s="190" t="str">
        <f>IF(Table2[[#This Row],[Counter Number]]="","",Table2[[#This Row],[Old Bus CO Emissions (tons/yr)]]-Table2[[#This Row],[New Bus CO Emissions (tons/yr)]])</f>
        <v/>
      </c>
      <c r="BV140" s="188" t="str">
        <f>IF(Table2[[#This Row],[Counter Number]]="","",Table2[[#This Row],[Reduction Bus CO Emissions (tons/yr)]]/Table2[[#This Row],[Old Bus CO Emissions (tons/yr)]])</f>
        <v/>
      </c>
      <c r="BW140" s="193" t="str">
        <f>IF(Table2[[#This Row],[Counter Number]]="","",Table2[[#This Row],[Reduction Bus CO Emissions (tons/yr)]]*Table2[[#This Row],[Remaining Life:]])</f>
        <v/>
      </c>
      <c r="BX140" s="194" t="str">
        <f>IF(Table2[[#This Row],[Counter Number]]="","",IF(Table2[[#This Row],[Lifetime CO Reduction (tons)]]=0,"NA",Table2[[#This Row],[Upgrade Cost Per Unit]]/Table2[[#This Row],[Lifetime CO Reduction (tons)]]))</f>
        <v/>
      </c>
      <c r="BY140" s="180" t="str">
        <f>IF(Table2[[#This Row],[Counter Number]]="","",Table2[[#This Row],[Old ULSD Used (gal):]]*VLOOKUP(Table2[[#This Row],[Engine Model Year:]],EF!$A$2:$G$27,7,FALSE))</f>
        <v/>
      </c>
      <c r="BZ14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0" s="195" t="str">
        <f>IF(Table2[[#This Row],[Counter Number]]="","",Table2[[#This Row],[Old Bus CO2 Emissions (tons/yr)]]-Table2[[#This Row],[New Bus CO2 Emissions (tons/yr)]])</f>
        <v/>
      </c>
      <c r="CB140" s="188" t="str">
        <f>IF(Table2[[#This Row],[Counter Number]]="","",Table2[[#This Row],[Reduction Bus CO2 Emissions (tons/yr)]]/Table2[[#This Row],[Old Bus CO2 Emissions (tons/yr)]])</f>
        <v/>
      </c>
      <c r="CC140" s="195" t="str">
        <f>IF(Table2[[#This Row],[Counter Number]]="","",Table2[[#This Row],[Reduction Bus CO2 Emissions (tons/yr)]]*Table2[[#This Row],[Remaining Life:]])</f>
        <v/>
      </c>
      <c r="CD140" s="194" t="str">
        <f>IF(Table2[[#This Row],[Counter Number]]="","",IF(Table2[[#This Row],[Lifetime CO2 Reduction (tons)]]=0,"NA",Table2[[#This Row],[Upgrade Cost Per Unit]]/Table2[[#This Row],[Lifetime CO2 Reduction (tons)]]))</f>
        <v/>
      </c>
      <c r="CE140" s="182" t="str">
        <f>IF(Table2[[#This Row],[Counter Number]]="","",IF(Table2[[#This Row],[New ULSD Used (gal):]]="",Table2[[#This Row],[Old ULSD Used (gal):]],Table2[[#This Row],[Old ULSD Used (gal):]]-Table2[[#This Row],[New ULSD Used (gal):]]))</f>
        <v/>
      </c>
      <c r="CF140" s="196" t="str">
        <f>IF(Table2[[#This Row],[Counter Number]]="","",Table2[[#This Row],[Diesel Fuel Reduction (gal/yr)]]/Table2[[#This Row],[Old ULSD Used (gal):]])</f>
        <v/>
      </c>
      <c r="CG140" s="197" t="str">
        <f>IF(Table2[[#This Row],[Counter Number]]="","",Table2[[#This Row],[Diesel Fuel Reduction (gal/yr)]]*Table2[[#This Row],[Remaining Life:]])</f>
        <v/>
      </c>
    </row>
    <row r="141" spans="1:85">
      <c r="A141" s="184" t="str">
        <f>IF(A140&lt;Application!$D$24,A140+1,"")</f>
        <v/>
      </c>
      <c r="B141" s="60" t="str">
        <f>IF(Table2[[#This Row],[Counter Number]]="","",Application!$D$16)</f>
        <v/>
      </c>
      <c r="C141" s="60" t="str">
        <f>IF(Table2[[#This Row],[Counter Number]]="","",Application!$D$14)</f>
        <v/>
      </c>
      <c r="D141" s="60" t="str">
        <f>IF(Table2[[#This Row],[Counter Number]]="","",Table1[[#This Row],[Old Bus Number]])</f>
        <v/>
      </c>
      <c r="E141" s="60" t="str">
        <f>IF(Table2[[#This Row],[Counter Number]]="","",Application!$D$15)</f>
        <v/>
      </c>
      <c r="F141" s="60" t="str">
        <f>IF(Table2[[#This Row],[Counter Number]]="","","On Highway")</f>
        <v/>
      </c>
      <c r="G141" s="60" t="str">
        <f>IF(Table2[[#This Row],[Counter Number]]="","",I141)</f>
        <v/>
      </c>
      <c r="H141" s="60" t="str">
        <f>IF(Table2[[#This Row],[Counter Number]]="","","Georgia")</f>
        <v/>
      </c>
      <c r="I141" s="60" t="str">
        <f>IF(Table2[[#This Row],[Counter Number]]="","",Application!$D$16)</f>
        <v/>
      </c>
      <c r="J141" s="60" t="str">
        <f>IF(Table2[[#This Row],[Counter Number]]="","",Application!$D$21)</f>
        <v/>
      </c>
      <c r="K141" s="60" t="str">
        <f>IF(Table2[[#This Row],[Counter Number]]="","",Application!$J$21)</f>
        <v/>
      </c>
      <c r="L141" s="60" t="str">
        <f>IF(Table2[[#This Row],[Counter Number]]="","","School Bus")</f>
        <v/>
      </c>
      <c r="M141" s="60" t="str">
        <f>IF(Table2[[#This Row],[Counter Number]]="","","School Bus")</f>
        <v/>
      </c>
      <c r="N141" s="60" t="str">
        <f>IF(Table2[[#This Row],[Counter Number]]="","",1)</f>
        <v/>
      </c>
      <c r="O141" s="60" t="str">
        <f>IF(Table2[[#This Row],[Counter Number]]="","",Table1[[#This Row],[Vehicle Identification Number(s):]])</f>
        <v/>
      </c>
      <c r="P141" s="60" t="str">
        <f>IF(Table2[[#This Row],[Counter Number]]="","",Table1[[#This Row],[Old Bus Manufacturer:]])</f>
        <v/>
      </c>
      <c r="Q141" s="60" t="str">
        <f>IF(Table2[[#This Row],[Counter Number]]="","",Table1[[#This Row],[Vehicle Model:]])</f>
        <v/>
      </c>
      <c r="R141" s="165" t="str">
        <f>IF(Table2[[#This Row],[Counter Number]]="","",Table1[[#This Row],[Vehicle Model Year:]])</f>
        <v/>
      </c>
      <c r="S141" s="60" t="str">
        <f>IF(Table2[[#This Row],[Counter Number]]="","",Table1[[#This Row],[Engine Serial Number(s):]])</f>
        <v/>
      </c>
      <c r="T141" s="60" t="str">
        <f>IF(Table2[[#This Row],[Counter Number]]="","",Table1[[#This Row],[Engine Make:]])</f>
        <v/>
      </c>
      <c r="U141" s="60" t="str">
        <f>IF(Table2[[#This Row],[Counter Number]]="","",Table1[[#This Row],[Engine Model:]])</f>
        <v/>
      </c>
      <c r="V141" s="165" t="str">
        <f>IF(Table2[[#This Row],[Counter Number]]="","",Table1[[#This Row],[Engine Model Year:]])</f>
        <v/>
      </c>
      <c r="W141" s="60" t="str">
        <f>IF(Table2[[#This Row],[Counter Number]]="","","NA")</f>
        <v/>
      </c>
      <c r="X141" s="165" t="str">
        <f>IF(Table2[[#This Row],[Counter Number]]="","",Table1[[#This Row],[Engine Horsepower (HP):]])</f>
        <v/>
      </c>
      <c r="Y141" s="165" t="str">
        <f>IF(Table2[[#This Row],[Counter Number]]="","",Table1[[#This Row],[Engine Cylinder Displacement (L):]]&amp;" L")</f>
        <v/>
      </c>
      <c r="Z141" s="165" t="str">
        <f>IF(Table2[[#This Row],[Counter Number]]="","",Table1[[#This Row],[Engine Number of Cylinders:]])</f>
        <v/>
      </c>
      <c r="AA141" s="166" t="str">
        <f>IF(Table2[[#This Row],[Counter Number]]="","",Table1[[#This Row],[Engine Family Name:]])</f>
        <v/>
      </c>
      <c r="AB141" s="60" t="str">
        <f>IF(Table2[[#This Row],[Counter Number]]="","","ULSD")</f>
        <v/>
      </c>
      <c r="AC141" s="167" t="str">
        <f>IF(Table2[[#This Row],[Counter Number]]="","",Table2[[#This Row],[Annual Miles Traveled:]]/Table1[[#This Row],[Old Fuel (mpg)]])</f>
        <v/>
      </c>
      <c r="AD141" s="60" t="str">
        <f>IF(Table2[[#This Row],[Counter Number]]="","","NA")</f>
        <v/>
      </c>
      <c r="AE141" s="168" t="str">
        <f>IF(Table2[[#This Row],[Counter Number]]="","",Table1[[#This Row],[Annual Miles Traveled]])</f>
        <v/>
      </c>
      <c r="AF141" s="169" t="str">
        <f>IF(Table2[[#This Row],[Counter Number]]="","",Table1[[#This Row],[Annual Idling Hours:]])</f>
        <v/>
      </c>
      <c r="AG141" s="60" t="str">
        <f>IF(Table2[[#This Row],[Counter Number]]="","","NA")</f>
        <v/>
      </c>
      <c r="AH141" s="165" t="str">
        <f>IF(Table2[[#This Row],[Counter Number]]="","",IF(Application!$J$25="Set Policy",Table1[[#This Row],[Remaining Life (years)         Set Policy]],Table1[[#This Row],[Remaining Life (years)               Case-by-Case]]))</f>
        <v/>
      </c>
      <c r="AI141" s="165" t="str">
        <f>IF(Table2[[#This Row],[Counter Number]]="","",IF(Application!$J$25="Case-by-Case","NA",Table2[[#This Row],[Fiscal Year of EPA Funds Used:]]+Table2[[#This Row],[Remaining Life:]]))</f>
        <v/>
      </c>
      <c r="AJ141" s="165"/>
      <c r="AK141" s="170" t="str">
        <f>IF(Table2[[#This Row],[Counter Number]]="","",Application!$D$14+1)</f>
        <v/>
      </c>
      <c r="AL141" s="60" t="str">
        <f>IF(Table2[[#This Row],[Counter Number]]="","","Vehicle Replacement")</f>
        <v/>
      </c>
      <c r="AM14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1" s="171" t="str">
        <f>IF(Table2[[#This Row],[Counter Number]]="","",Table1[[#This Row],[Cost of New Bus:]])</f>
        <v/>
      </c>
      <c r="AO141" s="60" t="str">
        <f>IF(Table2[[#This Row],[Counter Number]]="","","NA")</f>
        <v/>
      </c>
      <c r="AP141" s="165" t="str">
        <f>IF(Table2[[#This Row],[Counter Number]]="","",Table1[[#This Row],[New Engine Model Year:]])</f>
        <v/>
      </c>
      <c r="AQ141" s="60" t="str">
        <f>IF(Table2[[#This Row],[Counter Number]]="","","NA")</f>
        <v/>
      </c>
      <c r="AR141" s="165" t="str">
        <f>IF(Table2[[#This Row],[Counter Number]]="","",Table1[[#This Row],[New Engine Horsepower (HP):]])</f>
        <v/>
      </c>
      <c r="AS141" s="60" t="str">
        <f>IF(Table2[[#This Row],[Counter Number]]="","","NA")</f>
        <v/>
      </c>
      <c r="AT141" s="165" t="str">
        <f>IF(Table2[[#This Row],[Counter Number]]="","",Table1[[#This Row],[New Engine Cylinder Displacement (L):]]&amp;" L")</f>
        <v/>
      </c>
      <c r="AU141" s="114" t="str">
        <f>IF(Table2[[#This Row],[Counter Number]]="","",Table1[[#This Row],[New Engine Number of Cylinders:]])</f>
        <v/>
      </c>
      <c r="AV141" s="60" t="str">
        <f>IF(Table2[[#This Row],[Counter Number]]="","",Table1[[#This Row],[New Engine Family Name:]])</f>
        <v/>
      </c>
      <c r="AW14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1" s="60" t="str">
        <f>IF(Table2[[#This Row],[Counter Number]]="","","NA")</f>
        <v/>
      </c>
      <c r="AY141" s="172" t="str">
        <f>IF(Table2[[#This Row],[Counter Number]]="","",IF(Table2[[#This Row],[New Engine Fuel Type:]]="ULSD",Table1[[#This Row],[Annual Miles Traveled]]/Table1[[#This Row],[New Fuel (mpg) if Diesel]],""))</f>
        <v/>
      </c>
      <c r="AZ141" s="60"/>
      <c r="BA141" s="173" t="str">
        <f>IF(Table2[[#This Row],[Counter Number]]="","",Table2[[#This Row],[Annual Miles Traveled:]]*VLOOKUP(Table2[[#This Row],[Engine Model Year:]],EFTable[],3,FALSE))</f>
        <v/>
      </c>
      <c r="BB141" s="173" t="str">
        <f>IF(Table2[[#This Row],[Counter Number]]="","",Table2[[#This Row],[Annual Miles Traveled:]]*IF(Table2[[#This Row],[New Engine Fuel Type:]]="ULSD",VLOOKUP(Table2[[#This Row],[New Engine Model Year:]],EFTable[],3,FALSE),VLOOKUP(Table2[[#This Row],[New Engine Fuel Type:]],EFTable[],3,FALSE)))</f>
        <v/>
      </c>
      <c r="BC141" s="187" t="str">
        <f>IF(Table2[[#This Row],[Counter Number]]="","",Table2[[#This Row],[Old Bus NOx Emissions (tons/yr)]]-Table2[[#This Row],[New Bus NOx Emissions (tons/yr)]])</f>
        <v/>
      </c>
      <c r="BD141" s="188" t="str">
        <f>IF(Table2[[#This Row],[Counter Number]]="","",Table2[[#This Row],[Reduction Bus NOx Emissions (tons/yr)]]/Table2[[#This Row],[Old Bus NOx Emissions (tons/yr)]])</f>
        <v/>
      </c>
      <c r="BE141" s="175" t="str">
        <f>IF(Table2[[#This Row],[Counter Number]]="","",Table2[[#This Row],[Reduction Bus NOx Emissions (tons/yr)]]*Table2[[#This Row],[Remaining Life:]])</f>
        <v/>
      </c>
      <c r="BF141" s="189" t="str">
        <f>IF(Table2[[#This Row],[Counter Number]]="","",IF(Table2[[#This Row],[Lifetime NOx Reduction (tons)]]=0,"NA",Table2[[#This Row],[Upgrade Cost Per Unit]]/Table2[[#This Row],[Lifetime NOx Reduction (tons)]]))</f>
        <v/>
      </c>
      <c r="BG141" s="190" t="str">
        <f>IF(Table2[[#This Row],[Counter Number]]="","",Table2[[#This Row],[Annual Miles Traveled:]]*VLOOKUP(Table2[[#This Row],[Engine Model Year:]],EF!$A$2:$G$27,4,FALSE))</f>
        <v/>
      </c>
      <c r="BH141" s="173" t="str">
        <f>IF(Table2[[#This Row],[Counter Number]]="","",Table2[[#This Row],[Annual Miles Traveled:]]*IF(Table2[[#This Row],[New Engine Fuel Type:]]="ULSD",VLOOKUP(Table2[[#This Row],[New Engine Model Year:]],EFTable[],4,FALSE),VLOOKUP(Table2[[#This Row],[New Engine Fuel Type:]],EFTable[],4,FALSE)))</f>
        <v/>
      </c>
      <c r="BI141" s="191" t="str">
        <f>IF(Table2[[#This Row],[Counter Number]]="","",Table2[[#This Row],[Old Bus PM2.5 Emissions (tons/yr)]]-Table2[[#This Row],[New Bus PM2.5 Emissions (tons/yr)]])</f>
        <v/>
      </c>
      <c r="BJ141" s="192" t="str">
        <f>IF(Table2[[#This Row],[Counter Number]]="","",Table2[[#This Row],[Reduction Bus PM2.5 Emissions (tons/yr)]]/Table2[[#This Row],[Old Bus PM2.5 Emissions (tons/yr)]])</f>
        <v/>
      </c>
      <c r="BK141" s="193" t="str">
        <f>IF(Table2[[#This Row],[Counter Number]]="","",Table2[[#This Row],[Reduction Bus PM2.5 Emissions (tons/yr)]]*Table2[[#This Row],[Remaining Life:]])</f>
        <v/>
      </c>
      <c r="BL141" s="194" t="str">
        <f>IF(Table2[[#This Row],[Counter Number]]="","",IF(Table2[[#This Row],[Lifetime PM2.5 Reduction (tons)]]=0,"NA",Table2[[#This Row],[Upgrade Cost Per Unit]]/Table2[[#This Row],[Lifetime PM2.5 Reduction (tons)]]))</f>
        <v/>
      </c>
      <c r="BM141" s="179" t="str">
        <f>IF(Table2[[#This Row],[Counter Number]]="","",Table2[[#This Row],[Annual Miles Traveled:]]*VLOOKUP(Table2[[#This Row],[Engine Model Year:]],EF!$A$2:$G$40,5,FALSE))</f>
        <v/>
      </c>
      <c r="BN141" s="173" t="str">
        <f>IF(Table2[[#This Row],[Counter Number]]="","",Table2[[#This Row],[Annual Miles Traveled:]]*IF(Table2[[#This Row],[New Engine Fuel Type:]]="ULSD",VLOOKUP(Table2[[#This Row],[New Engine Model Year:]],EFTable[],5,FALSE),VLOOKUP(Table2[[#This Row],[New Engine Fuel Type:]],EFTable[],5,FALSE)))</f>
        <v/>
      </c>
      <c r="BO141" s="190" t="str">
        <f>IF(Table2[[#This Row],[Counter Number]]="","",Table2[[#This Row],[Old Bus HC Emissions (tons/yr)]]-Table2[[#This Row],[New Bus HC Emissions (tons/yr)]])</f>
        <v/>
      </c>
      <c r="BP141" s="188" t="str">
        <f>IF(Table2[[#This Row],[Counter Number]]="","",Table2[[#This Row],[Reduction Bus HC Emissions (tons/yr)]]/Table2[[#This Row],[Old Bus HC Emissions (tons/yr)]])</f>
        <v/>
      </c>
      <c r="BQ141" s="193" t="str">
        <f>IF(Table2[[#This Row],[Counter Number]]="","",Table2[[#This Row],[Reduction Bus HC Emissions (tons/yr)]]*Table2[[#This Row],[Remaining Life:]])</f>
        <v/>
      </c>
      <c r="BR141" s="194" t="str">
        <f>IF(Table2[[#This Row],[Counter Number]]="","",IF(Table2[[#This Row],[Lifetime HC Reduction (tons)]]=0,"NA",Table2[[#This Row],[Upgrade Cost Per Unit]]/Table2[[#This Row],[Lifetime HC Reduction (tons)]]))</f>
        <v/>
      </c>
      <c r="BS141" s="191" t="str">
        <f>IF(Table2[[#This Row],[Counter Number]]="","",Table2[[#This Row],[Annual Miles Traveled:]]*VLOOKUP(Table2[[#This Row],[Engine Model Year:]],EF!$A$2:$G$27,6,FALSE))</f>
        <v/>
      </c>
      <c r="BT141" s="173" t="str">
        <f>IF(Table2[[#This Row],[Counter Number]]="","",Table2[[#This Row],[Annual Miles Traveled:]]*IF(Table2[[#This Row],[New Engine Fuel Type:]]="ULSD",VLOOKUP(Table2[[#This Row],[New Engine Model Year:]],EFTable[],6,FALSE),VLOOKUP(Table2[[#This Row],[New Engine Fuel Type:]],EFTable[],6,FALSE)))</f>
        <v/>
      </c>
      <c r="BU141" s="190" t="str">
        <f>IF(Table2[[#This Row],[Counter Number]]="","",Table2[[#This Row],[Old Bus CO Emissions (tons/yr)]]-Table2[[#This Row],[New Bus CO Emissions (tons/yr)]])</f>
        <v/>
      </c>
      <c r="BV141" s="188" t="str">
        <f>IF(Table2[[#This Row],[Counter Number]]="","",Table2[[#This Row],[Reduction Bus CO Emissions (tons/yr)]]/Table2[[#This Row],[Old Bus CO Emissions (tons/yr)]])</f>
        <v/>
      </c>
      <c r="BW141" s="193" t="str">
        <f>IF(Table2[[#This Row],[Counter Number]]="","",Table2[[#This Row],[Reduction Bus CO Emissions (tons/yr)]]*Table2[[#This Row],[Remaining Life:]])</f>
        <v/>
      </c>
      <c r="BX141" s="194" t="str">
        <f>IF(Table2[[#This Row],[Counter Number]]="","",IF(Table2[[#This Row],[Lifetime CO Reduction (tons)]]=0,"NA",Table2[[#This Row],[Upgrade Cost Per Unit]]/Table2[[#This Row],[Lifetime CO Reduction (tons)]]))</f>
        <v/>
      </c>
      <c r="BY141" s="180" t="str">
        <f>IF(Table2[[#This Row],[Counter Number]]="","",Table2[[#This Row],[Old ULSD Used (gal):]]*VLOOKUP(Table2[[#This Row],[Engine Model Year:]],EF!$A$2:$G$27,7,FALSE))</f>
        <v/>
      </c>
      <c r="BZ14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1" s="195" t="str">
        <f>IF(Table2[[#This Row],[Counter Number]]="","",Table2[[#This Row],[Old Bus CO2 Emissions (tons/yr)]]-Table2[[#This Row],[New Bus CO2 Emissions (tons/yr)]])</f>
        <v/>
      </c>
      <c r="CB141" s="188" t="str">
        <f>IF(Table2[[#This Row],[Counter Number]]="","",Table2[[#This Row],[Reduction Bus CO2 Emissions (tons/yr)]]/Table2[[#This Row],[Old Bus CO2 Emissions (tons/yr)]])</f>
        <v/>
      </c>
      <c r="CC141" s="195" t="str">
        <f>IF(Table2[[#This Row],[Counter Number]]="","",Table2[[#This Row],[Reduction Bus CO2 Emissions (tons/yr)]]*Table2[[#This Row],[Remaining Life:]])</f>
        <v/>
      </c>
      <c r="CD141" s="194" t="str">
        <f>IF(Table2[[#This Row],[Counter Number]]="","",IF(Table2[[#This Row],[Lifetime CO2 Reduction (tons)]]=0,"NA",Table2[[#This Row],[Upgrade Cost Per Unit]]/Table2[[#This Row],[Lifetime CO2 Reduction (tons)]]))</f>
        <v/>
      </c>
      <c r="CE141" s="182" t="str">
        <f>IF(Table2[[#This Row],[Counter Number]]="","",IF(Table2[[#This Row],[New ULSD Used (gal):]]="",Table2[[#This Row],[Old ULSD Used (gal):]],Table2[[#This Row],[Old ULSD Used (gal):]]-Table2[[#This Row],[New ULSD Used (gal):]]))</f>
        <v/>
      </c>
      <c r="CF141" s="196" t="str">
        <f>IF(Table2[[#This Row],[Counter Number]]="","",Table2[[#This Row],[Diesel Fuel Reduction (gal/yr)]]/Table2[[#This Row],[Old ULSD Used (gal):]])</f>
        <v/>
      </c>
      <c r="CG141" s="197" t="str">
        <f>IF(Table2[[#This Row],[Counter Number]]="","",Table2[[#This Row],[Diesel Fuel Reduction (gal/yr)]]*Table2[[#This Row],[Remaining Life:]])</f>
        <v/>
      </c>
    </row>
    <row r="142" spans="1:85">
      <c r="A142" s="184" t="str">
        <f>IF(A141&lt;Application!$D$24,A141+1,"")</f>
        <v/>
      </c>
      <c r="B142" s="60" t="str">
        <f>IF(Table2[[#This Row],[Counter Number]]="","",Application!$D$16)</f>
        <v/>
      </c>
      <c r="C142" s="60" t="str">
        <f>IF(Table2[[#This Row],[Counter Number]]="","",Application!$D$14)</f>
        <v/>
      </c>
      <c r="D142" s="60" t="str">
        <f>IF(Table2[[#This Row],[Counter Number]]="","",Table1[[#This Row],[Old Bus Number]])</f>
        <v/>
      </c>
      <c r="E142" s="60" t="str">
        <f>IF(Table2[[#This Row],[Counter Number]]="","",Application!$D$15)</f>
        <v/>
      </c>
      <c r="F142" s="60" t="str">
        <f>IF(Table2[[#This Row],[Counter Number]]="","","On Highway")</f>
        <v/>
      </c>
      <c r="G142" s="60" t="str">
        <f>IF(Table2[[#This Row],[Counter Number]]="","",I142)</f>
        <v/>
      </c>
      <c r="H142" s="60" t="str">
        <f>IF(Table2[[#This Row],[Counter Number]]="","","Georgia")</f>
        <v/>
      </c>
      <c r="I142" s="60" t="str">
        <f>IF(Table2[[#This Row],[Counter Number]]="","",Application!$D$16)</f>
        <v/>
      </c>
      <c r="J142" s="60" t="str">
        <f>IF(Table2[[#This Row],[Counter Number]]="","",Application!$D$21)</f>
        <v/>
      </c>
      <c r="K142" s="60" t="str">
        <f>IF(Table2[[#This Row],[Counter Number]]="","",Application!$J$21)</f>
        <v/>
      </c>
      <c r="L142" s="60" t="str">
        <f>IF(Table2[[#This Row],[Counter Number]]="","","School Bus")</f>
        <v/>
      </c>
      <c r="M142" s="60" t="str">
        <f>IF(Table2[[#This Row],[Counter Number]]="","","School Bus")</f>
        <v/>
      </c>
      <c r="N142" s="60" t="str">
        <f>IF(Table2[[#This Row],[Counter Number]]="","",1)</f>
        <v/>
      </c>
      <c r="O142" s="60" t="str">
        <f>IF(Table2[[#This Row],[Counter Number]]="","",Table1[[#This Row],[Vehicle Identification Number(s):]])</f>
        <v/>
      </c>
      <c r="P142" s="60" t="str">
        <f>IF(Table2[[#This Row],[Counter Number]]="","",Table1[[#This Row],[Old Bus Manufacturer:]])</f>
        <v/>
      </c>
      <c r="Q142" s="60" t="str">
        <f>IF(Table2[[#This Row],[Counter Number]]="","",Table1[[#This Row],[Vehicle Model:]])</f>
        <v/>
      </c>
      <c r="R142" s="165" t="str">
        <f>IF(Table2[[#This Row],[Counter Number]]="","",Table1[[#This Row],[Vehicle Model Year:]])</f>
        <v/>
      </c>
      <c r="S142" s="60" t="str">
        <f>IF(Table2[[#This Row],[Counter Number]]="","",Table1[[#This Row],[Engine Serial Number(s):]])</f>
        <v/>
      </c>
      <c r="T142" s="60" t="str">
        <f>IF(Table2[[#This Row],[Counter Number]]="","",Table1[[#This Row],[Engine Make:]])</f>
        <v/>
      </c>
      <c r="U142" s="60" t="str">
        <f>IF(Table2[[#This Row],[Counter Number]]="","",Table1[[#This Row],[Engine Model:]])</f>
        <v/>
      </c>
      <c r="V142" s="165" t="str">
        <f>IF(Table2[[#This Row],[Counter Number]]="","",Table1[[#This Row],[Engine Model Year:]])</f>
        <v/>
      </c>
      <c r="W142" s="60" t="str">
        <f>IF(Table2[[#This Row],[Counter Number]]="","","NA")</f>
        <v/>
      </c>
      <c r="X142" s="165" t="str">
        <f>IF(Table2[[#This Row],[Counter Number]]="","",Table1[[#This Row],[Engine Horsepower (HP):]])</f>
        <v/>
      </c>
      <c r="Y142" s="165" t="str">
        <f>IF(Table2[[#This Row],[Counter Number]]="","",Table1[[#This Row],[Engine Cylinder Displacement (L):]]&amp;" L")</f>
        <v/>
      </c>
      <c r="Z142" s="165" t="str">
        <f>IF(Table2[[#This Row],[Counter Number]]="","",Table1[[#This Row],[Engine Number of Cylinders:]])</f>
        <v/>
      </c>
      <c r="AA142" s="166" t="str">
        <f>IF(Table2[[#This Row],[Counter Number]]="","",Table1[[#This Row],[Engine Family Name:]])</f>
        <v/>
      </c>
      <c r="AB142" s="60" t="str">
        <f>IF(Table2[[#This Row],[Counter Number]]="","","ULSD")</f>
        <v/>
      </c>
      <c r="AC142" s="167" t="str">
        <f>IF(Table2[[#This Row],[Counter Number]]="","",Table2[[#This Row],[Annual Miles Traveled:]]/Table1[[#This Row],[Old Fuel (mpg)]])</f>
        <v/>
      </c>
      <c r="AD142" s="60" t="str">
        <f>IF(Table2[[#This Row],[Counter Number]]="","","NA")</f>
        <v/>
      </c>
      <c r="AE142" s="168" t="str">
        <f>IF(Table2[[#This Row],[Counter Number]]="","",Table1[[#This Row],[Annual Miles Traveled]])</f>
        <v/>
      </c>
      <c r="AF142" s="169" t="str">
        <f>IF(Table2[[#This Row],[Counter Number]]="","",Table1[[#This Row],[Annual Idling Hours:]])</f>
        <v/>
      </c>
      <c r="AG142" s="60" t="str">
        <f>IF(Table2[[#This Row],[Counter Number]]="","","NA")</f>
        <v/>
      </c>
      <c r="AH142" s="165" t="str">
        <f>IF(Table2[[#This Row],[Counter Number]]="","",IF(Application!$J$25="Set Policy",Table1[[#This Row],[Remaining Life (years)         Set Policy]],Table1[[#This Row],[Remaining Life (years)               Case-by-Case]]))</f>
        <v/>
      </c>
      <c r="AI142" s="165" t="str">
        <f>IF(Table2[[#This Row],[Counter Number]]="","",IF(Application!$J$25="Case-by-Case","NA",Table2[[#This Row],[Fiscal Year of EPA Funds Used:]]+Table2[[#This Row],[Remaining Life:]]))</f>
        <v/>
      </c>
      <c r="AJ142" s="165"/>
      <c r="AK142" s="170" t="str">
        <f>IF(Table2[[#This Row],[Counter Number]]="","",Application!$D$14+1)</f>
        <v/>
      </c>
      <c r="AL142" s="60" t="str">
        <f>IF(Table2[[#This Row],[Counter Number]]="","","Vehicle Replacement")</f>
        <v/>
      </c>
      <c r="AM14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2" s="171" t="str">
        <f>IF(Table2[[#This Row],[Counter Number]]="","",Table1[[#This Row],[Cost of New Bus:]])</f>
        <v/>
      </c>
      <c r="AO142" s="60" t="str">
        <f>IF(Table2[[#This Row],[Counter Number]]="","","NA")</f>
        <v/>
      </c>
      <c r="AP142" s="165" t="str">
        <f>IF(Table2[[#This Row],[Counter Number]]="","",Table1[[#This Row],[New Engine Model Year:]])</f>
        <v/>
      </c>
      <c r="AQ142" s="60" t="str">
        <f>IF(Table2[[#This Row],[Counter Number]]="","","NA")</f>
        <v/>
      </c>
      <c r="AR142" s="165" t="str">
        <f>IF(Table2[[#This Row],[Counter Number]]="","",Table1[[#This Row],[New Engine Horsepower (HP):]])</f>
        <v/>
      </c>
      <c r="AS142" s="60" t="str">
        <f>IF(Table2[[#This Row],[Counter Number]]="","","NA")</f>
        <v/>
      </c>
      <c r="AT142" s="165" t="str">
        <f>IF(Table2[[#This Row],[Counter Number]]="","",Table1[[#This Row],[New Engine Cylinder Displacement (L):]]&amp;" L")</f>
        <v/>
      </c>
      <c r="AU142" s="114" t="str">
        <f>IF(Table2[[#This Row],[Counter Number]]="","",Table1[[#This Row],[New Engine Number of Cylinders:]])</f>
        <v/>
      </c>
      <c r="AV142" s="60" t="str">
        <f>IF(Table2[[#This Row],[Counter Number]]="","",Table1[[#This Row],[New Engine Family Name:]])</f>
        <v/>
      </c>
      <c r="AW14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2" s="60" t="str">
        <f>IF(Table2[[#This Row],[Counter Number]]="","","NA")</f>
        <v/>
      </c>
      <c r="AY142" s="172" t="str">
        <f>IF(Table2[[#This Row],[Counter Number]]="","",IF(Table2[[#This Row],[New Engine Fuel Type:]]="ULSD",Table1[[#This Row],[Annual Miles Traveled]]/Table1[[#This Row],[New Fuel (mpg) if Diesel]],""))</f>
        <v/>
      </c>
      <c r="AZ142" s="60"/>
      <c r="BA142" s="173" t="str">
        <f>IF(Table2[[#This Row],[Counter Number]]="","",Table2[[#This Row],[Annual Miles Traveled:]]*VLOOKUP(Table2[[#This Row],[Engine Model Year:]],EFTable[],3,FALSE))</f>
        <v/>
      </c>
      <c r="BB142" s="173" t="str">
        <f>IF(Table2[[#This Row],[Counter Number]]="","",Table2[[#This Row],[Annual Miles Traveled:]]*IF(Table2[[#This Row],[New Engine Fuel Type:]]="ULSD",VLOOKUP(Table2[[#This Row],[New Engine Model Year:]],EFTable[],3,FALSE),VLOOKUP(Table2[[#This Row],[New Engine Fuel Type:]],EFTable[],3,FALSE)))</f>
        <v/>
      </c>
      <c r="BC142" s="187" t="str">
        <f>IF(Table2[[#This Row],[Counter Number]]="","",Table2[[#This Row],[Old Bus NOx Emissions (tons/yr)]]-Table2[[#This Row],[New Bus NOx Emissions (tons/yr)]])</f>
        <v/>
      </c>
      <c r="BD142" s="188" t="str">
        <f>IF(Table2[[#This Row],[Counter Number]]="","",Table2[[#This Row],[Reduction Bus NOx Emissions (tons/yr)]]/Table2[[#This Row],[Old Bus NOx Emissions (tons/yr)]])</f>
        <v/>
      </c>
      <c r="BE142" s="175" t="str">
        <f>IF(Table2[[#This Row],[Counter Number]]="","",Table2[[#This Row],[Reduction Bus NOx Emissions (tons/yr)]]*Table2[[#This Row],[Remaining Life:]])</f>
        <v/>
      </c>
      <c r="BF142" s="189" t="str">
        <f>IF(Table2[[#This Row],[Counter Number]]="","",IF(Table2[[#This Row],[Lifetime NOx Reduction (tons)]]=0,"NA",Table2[[#This Row],[Upgrade Cost Per Unit]]/Table2[[#This Row],[Lifetime NOx Reduction (tons)]]))</f>
        <v/>
      </c>
      <c r="BG142" s="190" t="str">
        <f>IF(Table2[[#This Row],[Counter Number]]="","",Table2[[#This Row],[Annual Miles Traveled:]]*VLOOKUP(Table2[[#This Row],[Engine Model Year:]],EF!$A$2:$G$27,4,FALSE))</f>
        <v/>
      </c>
      <c r="BH142" s="173" t="str">
        <f>IF(Table2[[#This Row],[Counter Number]]="","",Table2[[#This Row],[Annual Miles Traveled:]]*IF(Table2[[#This Row],[New Engine Fuel Type:]]="ULSD",VLOOKUP(Table2[[#This Row],[New Engine Model Year:]],EFTable[],4,FALSE),VLOOKUP(Table2[[#This Row],[New Engine Fuel Type:]],EFTable[],4,FALSE)))</f>
        <v/>
      </c>
      <c r="BI142" s="191" t="str">
        <f>IF(Table2[[#This Row],[Counter Number]]="","",Table2[[#This Row],[Old Bus PM2.5 Emissions (tons/yr)]]-Table2[[#This Row],[New Bus PM2.5 Emissions (tons/yr)]])</f>
        <v/>
      </c>
      <c r="BJ142" s="192" t="str">
        <f>IF(Table2[[#This Row],[Counter Number]]="","",Table2[[#This Row],[Reduction Bus PM2.5 Emissions (tons/yr)]]/Table2[[#This Row],[Old Bus PM2.5 Emissions (tons/yr)]])</f>
        <v/>
      </c>
      <c r="BK142" s="193" t="str">
        <f>IF(Table2[[#This Row],[Counter Number]]="","",Table2[[#This Row],[Reduction Bus PM2.5 Emissions (tons/yr)]]*Table2[[#This Row],[Remaining Life:]])</f>
        <v/>
      </c>
      <c r="BL142" s="194" t="str">
        <f>IF(Table2[[#This Row],[Counter Number]]="","",IF(Table2[[#This Row],[Lifetime PM2.5 Reduction (tons)]]=0,"NA",Table2[[#This Row],[Upgrade Cost Per Unit]]/Table2[[#This Row],[Lifetime PM2.5 Reduction (tons)]]))</f>
        <v/>
      </c>
      <c r="BM142" s="179" t="str">
        <f>IF(Table2[[#This Row],[Counter Number]]="","",Table2[[#This Row],[Annual Miles Traveled:]]*VLOOKUP(Table2[[#This Row],[Engine Model Year:]],EF!$A$2:$G$40,5,FALSE))</f>
        <v/>
      </c>
      <c r="BN142" s="173" t="str">
        <f>IF(Table2[[#This Row],[Counter Number]]="","",Table2[[#This Row],[Annual Miles Traveled:]]*IF(Table2[[#This Row],[New Engine Fuel Type:]]="ULSD",VLOOKUP(Table2[[#This Row],[New Engine Model Year:]],EFTable[],5,FALSE),VLOOKUP(Table2[[#This Row],[New Engine Fuel Type:]],EFTable[],5,FALSE)))</f>
        <v/>
      </c>
      <c r="BO142" s="190" t="str">
        <f>IF(Table2[[#This Row],[Counter Number]]="","",Table2[[#This Row],[Old Bus HC Emissions (tons/yr)]]-Table2[[#This Row],[New Bus HC Emissions (tons/yr)]])</f>
        <v/>
      </c>
      <c r="BP142" s="188" t="str">
        <f>IF(Table2[[#This Row],[Counter Number]]="","",Table2[[#This Row],[Reduction Bus HC Emissions (tons/yr)]]/Table2[[#This Row],[Old Bus HC Emissions (tons/yr)]])</f>
        <v/>
      </c>
      <c r="BQ142" s="193" t="str">
        <f>IF(Table2[[#This Row],[Counter Number]]="","",Table2[[#This Row],[Reduction Bus HC Emissions (tons/yr)]]*Table2[[#This Row],[Remaining Life:]])</f>
        <v/>
      </c>
      <c r="BR142" s="194" t="str">
        <f>IF(Table2[[#This Row],[Counter Number]]="","",IF(Table2[[#This Row],[Lifetime HC Reduction (tons)]]=0,"NA",Table2[[#This Row],[Upgrade Cost Per Unit]]/Table2[[#This Row],[Lifetime HC Reduction (tons)]]))</f>
        <v/>
      </c>
      <c r="BS142" s="191" t="str">
        <f>IF(Table2[[#This Row],[Counter Number]]="","",Table2[[#This Row],[Annual Miles Traveled:]]*VLOOKUP(Table2[[#This Row],[Engine Model Year:]],EF!$A$2:$G$27,6,FALSE))</f>
        <v/>
      </c>
      <c r="BT142" s="173" t="str">
        <f>IF(Table2[[#This Row],[Counter Number]]="","",Table2[[#This Row],[Annual Miles Traveled:]]*IF(Table2[[#This Row],[New Engine Fuel Type:]]="ULSD",VLOOKUP(Table2[[#This Row],[New Engine Model Year:]],EFTable[],6,FALSE),VLOOKUP(Table2[[#This Row],[New Engine Fuel Type:]],EFTable[],6,FALSE)))</f>
        <v/>
      </c>
      <c r="BU142" s="190" t="str">
        <f>IF(Table2[[#This Row],[Counter Number]]="","",Table2[[#This Row],[Old Bus CO Emissions (tons/yr)]]-Table2[[#This Row],[New Bus CO Emissions (tons/yr)]])</f>
        <v/>
      </c>
      <c r="BV142" s="188" t="str">
        <f>IF(Table2[[#This Row],[Counter Number]]="","",Table2[[#This Row],[Reduction Bus CO Emissions (tons/yr)]]/Table2[[#This Row],[Old Bus CO Emissions (tons/yr)]])</f>
        <v/>
      </c>
      <c r="BW142" s="193" t="str">
        <f>IF(Table2[[#This Row],[Counter Number]]="","",Table2[[#This Row],[Reduction Bus CO Emissions (tons/yr)]]*Table2[[#This Row],[Remaining Life:]])</f>
        <v/>
      </c>
      <c r="BX142" s="194" t="str">
        <f>IF(Table2[[#This Row],[Counter Number]]="","",IF(Table2[[#This Row],[Lifetime CO Reduction (tons)]]=0,"NA",Table2[[#This Row],[Upgrade Cost Per Unit]]/Table2[[#This Row],[Lifetime CO Reduction (tons)]]))</f>
        <v/>
      </c>
      <c r="BY142" s="180" t="str">
        <f>IF(Table2[[#This Row],[Counter Number]]="","",Table2[[#This Row],[Old ULSD Used (gal):]]*VLOOKUP(Table2[[#This Row],[Engine Model Year:]],EF!$A$2:$G$27,7,FALSE))</f>
        <v/>
      </c>
      <c r="BZ14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2" s="195" t="str">
        <f>IF(Table2[[#This Row],[Counter Number]]="","",Table2[[#This Row],[Old Bus CO2 Emissions (tons/yr)]]-Table2[[#This Row],[New Bus CO2 Emissions (tons/yr)]])</f>
        <v/>
      </c>
      <c r="CB142" s="188" t="str">
        <f>IF(Table2[[#This Row],[Counter Number]]="","",Table2[[#This Row],[Reduction Bus CO2 Emissions (tons/yr)]]/Table2[[#This Row],[Old Bus CO2 Emissions (tons/yr)]])</f>
        <v/>
      </c>
      <c r="CC142" s="195" t="str">
        <f>IF(Table2[[#This Row],[Counter Number]]="","",Table2[[#This Row],[Reduction Bus CO2 Emissions (tons/yr)]]*Table2[[#This Row],[Remaining Life:]])</f>
        <v/>
      </c>
      <c r="CD142" s="194" t="str">
        <f>IF(Table2[[#This Row],[Counter Number]]="","",IF(Table2[[#This Row],[Lifetime CO2 Reduction (tons)]]=0,"NA",Table2[[#This Row],[Upgrade Cost Per Unit]]/Table2[[#This Row],[Lifetime CO2 Reduction (tons)]]))</f>
        <v/>
      </c>
      <c r="CE142" s="182" t="str">
        <f>IF(Table2[[#This Row],[Counter Number]]="","",IF(Table2[[#This Row],[New ULSD Used (gal):]]="",Table2[[#This Row],[Old ULSD Used (gal):]],Table2[[#This Row],[Old ULSD Used (gal):]]-Table2[[#This Row],[New ULSD Used (gal):]]))</f>
        <v/>
      </c>
      <c r="CF142" s="196" t="str">
        <f>IF(Table2[[#This Row],[Counter Number]]="","",Table2[[#This Row],[Diesel Fuel Reduction (gal/yr)]]/Table2[[#This Row],[Old ULSD Used (gal):]])</f>
        <v/>
      </c>
      <c r="CG142" s="197" t="str">
        <f>IF(Table2[[#This Row],[Counter Number]]="","",Table2[[#This Row],[Diesel Fuel Reduction (gal/yr)]]*Table2[[#This Row],[Remaining Life:]])</f>
        <v/>
      </c>
    </row>
    <row r="143" spans="1:85">
      <c r="A143" s="184" t="str">
        <f>IF(A142&lt;Application!$D$24,A142+1,"")</f>
        <v/>
      </c>
      <c r="B143" s="60" t="str">
        <f>IF(Table2[[#This Row],[Counter Number]]="","",Application!$D$16)</f>
        <v/>
      </c>
      <c r="C143" s="60" t="str">
        <f>IF(Table2[[#This Row],[Counter Number]]="","",Application!$D$14)</f>
        <v/>
      </c>
      <c r="D143" s="60" t="str">
        <f>IF(Table2[[#This Row],[Counter Number]]="","",Table1[[#This Row],[Old Bus Number]])</f>
        <v/>
      </c>
      <c r="E143" s="60" t="str">
        <f>IF(Table2[[#This Row],[Counter Number]]="","",Application!$D$15)</f>
        <v/>
      </c>
      <c r="F143" s="60" t="str">
        <f>IF(Table2[[#This Row],[Counter Number]]="","","On Highway")</f>
        <v/>
      </c>
      <c r="G143" s="60" t="str">
        <f>IF(Table2[[#This Row],[Counter Number]]="","",I143)</f>
        <v/>
      </c>
      <c r="H143" s="60" t="str">
        <f>IF(Table2[[#This Row],[Counter Number]]="","","Georgia")</f>
        <v/>
      </c>
      <c r="I143" s="60" t="str">
        <f>IF(Table2[[#This Row],[Counter Number]]="","",Application!$D$16)</f>
        <v/>
      </c>
      <c r="J143" s="60" t="str">
        <f>IF(Table2[[#This Row],[Counter Number]]="","",Application!$D$21)</f>
        <v/>
      </c>
      <c r="K143" s="60" t="str">
        <f>IF(Table2[[#This Row],[Counter Number]]="","",Application!$J$21)</f>
        <v/>
      </c>
      <c r="L143" s="60" t="str">
        <f>IF(Table2[[#This Row],[Counter Number]]="","","School Bus")</f>
        <v/>
      </c>
      <c r="M143" s="60" t="str">
        <f>IF(Table2[[#This Row],[Counter Number]]="","","School Bus")</f>
        <v/>
      </c>
      <c r="N143" s="60" t="str">
        <f>IF(Table2[[#This Row],[Counter Number]]="","",1)</f>
        <v/>
      </c>
      <c r="O143" s="60" t="str">
        <f>IF(Table2[[#This Row],[Counter Number]]="","",Table1[[#This Row],[Vehicle Identification Number(s):]])</f>
        <v/>
      </c>
      <c r="P143" s="60" t="str">
        <f>IF(Table2[[#This Row],[Counter Number]]="","",Table1[[#This Row],[Old Bus Manufacturer:]])</f>
        <v/>
      </c>
      <c r="Q143" s="60" t="str">
        <f>IF(Table2[[#This Row],[Counter Number]]="","",Table1[[#This Row],[Vehicle Model:]])</f>
        <v/>
      </c>
      <c r="R143" s="165" t="str">
        <f>IF(Table2[[#This Row],[Counter Number]]="","",Table1[[#This Row],[Vehicle Model Year:]])</f>
        <v/>
      </c>
      <c r="S143" s="60" t="str">
        <f>IF(Table2[[#This Row],[Counter Number]]="","",Table1[[#This Row],[Engine Serial Number(s):]])</f>
        <v/>
      </c>
      <c r="T143" s="60" t="str">
        <f>IF(Table2[[#This Row],[Counter Number]]="","",Table1[[#This Row],[Engine Make:]])</f>
        <v/>
      </c>
      <c r="U143" s="60" t="str">
        <f>IF(Table2[[#This Row],[Counter Number]]="","",Table1[[#This Row],[Engine Model:]])</f>
        <v/>
      </c>
      <c r="V143" s="165" t="str">
        <f>IF(Table2[[#This Row],[Counter Number]]="","",Table1[[#This Row],[Engine Model Year:]])</f>
        <v/>
      </c>
      <c r="W143" s="60" t="str">
        <f>IF(Table2[[#This Row],[Counter Number]]="","","NA")</f>
        <v/>
      </c>
      <c r="X143" s="165" t="str">
        <f>IF(Table2[[#This Row],[Counter Number]]="","",Table1[[#This Row],[Engine Horsepower (HP):]])</f>
        <v/>
      </c>
      <c r="Y143" s="165" t="str">
        <f>IF(Table2[[#This Row],[Counter Number]]="","",Table1[[#This Row],[Engine Cylinder Displacement (L):]]&amp;" L")</f>
        <v/>
      </c>
      <c r="Z143" s="165" t="str">
        <f>IF(Table2[[#This Row],[Counter Number]]="","",Table1[[#This Row],[Engine Number of Cylinders:]])</f>
        <v/>
      </c>
      <c r="AA143" s="166" t="str">
        <f>IF(Table2[[#This Row],[Counter Number]]="","",Table1[[#This Row],[Engine Family Name:]])</f>
        <v/>
      </c>
      <c r="AB143" s="60" t="str">
        <f>IF(Table2[[#This Row],[Counter Number]]="","","ULSD")</f>
        <v/>
      </c>
      <c r="AC143" s="167" t="str">
        <f>IF(Table2[[#This Row],[Counter Number]]="","",Table2[[#This Row],[Annual Miles Traveled:]]/Table1[[#This Row],[Old Fuel (mpg)]])</f>
        <v/>
      </c>
      <c r="AD143" s="60" t="str">
        <f>IF(Table2[[#This Row],[Counter Number]]="","","NA")</f>
        <v/>
      </c>
      <c r="AE143" s="168" t="str">
        <f>IF(Table2[[#This Row],[Counter Number]]="","",Table1[[#This Row],[Annual Miles Traveled]])</f>
        <v/>
      </c>
      <c r="AF143" s="169" t="str">
        <f>IF(Table2[[#This Row],[Counter Number]]="","",Table1[[#This Row],[Annual Idling Hours:]])</f>
        <v/>
      </c>
      <c r="AG143" s="60" t="str">
        <f>IF(Table2[[#This Row],[Counter Number]]="","","NA")</f>
        <v/>
      </c>
      <c r="AH143" s="165" t="str">
        <f>IF(Table2[[#This Row],[Counter Number]]="","",IF(Application!$J$25="Set Policy",Table1[[#This Row],[Remaining Life (years)         Set Policy]],Table1[[#This Row],[Remaining Life (years)               Case-by-Case]]))</f>
        <v/>
      </c>
      <c r="AI143" s="165" t="str">
        <f>IF(Table2[[#This Row],[Counter Number]]="","",IF(Application!$J$25="Case-by-Case","NA",Table2[[#This Row],[Fiscal Year of EPA Funds Used:]]+Table2[[#This Row],[Remaining Life:]]))</f>
        <v/>
      </c>
      <c r="AJ143" s="165"/>
      <c r="AK143" s="170" t="str">
        <f>IF(Table2[[#This Row],[Counter Number]]="","",Application!$D$14+1)</f>
        <v/>
      </c>
      <c r="AL143" s="60" t="str">
        <f>IF(Table2[[#This Row],[Counter Number]]="","","Vehicle Replacement")</f>
        <v/>
      </c>
      <c r="AM14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3" s="171" t="str">
        <f>IF(Table2[[#This Row],[Counter Number]]="","",Table1[[#This Row],[Cost of New Bus:]])</f>
        <v/>
      </c>
      <c r="AO143" s="60" t="str">
        <f>IF(Table2[[#This Row],[Counter Number]]="","","NA")</f>
        <v/>
      </c>
      <c r="AP143" s="165" t="str">
        <f>IF(Table2[[#This Row],[Counter Number]]="","",Table1[[#This Row],[New Engine Model Year:]])</f>
        <v/>
      </c>
      <c r="AQ143" s="60" t="str">
        <f>IF(Table2[[#This Row],[Counter Number]]="","","NA")</f>
        <v/>
      </c>
      <c r="AR143" s="165" t="str">
        <f>IF(Table2[[#This Row],[Counter Number]]="","",Table1[[#This Row],[New Engine Horsepower (HP):]])</f>
        <v/>
      </c>
      <c r="AS143" s="60" t="str">
        <f>IF(Table2[[#This Row],[Counter Number]]="","","NA")</f>
        <v/>
      </c>
      <c r="AT143" s="165" t="str">
        <f>IF(Table2[[#This Row],[Counter Number]]="","",Table1[[#This Row],[New Engine Cylinder Displacement (L):]]&amp;" L")</f>
        <v/>
      </c>
      <c r="AU143" s="114" t="str">
        <f>IF(Table2[[#This Row],[Counter Number]]="","",Table1[[#This Row],[New Engine Number of Cylinders:]])</f>
        <v/>
      </c>
      <c r="AV143" s="60" t="str">
        <f>IF(Table2[[#This Row],[Counter Number]]="","",Table1[[#This Row],[New Engine Family Name:]])</f>
        <v/>
      </c>
      <c r="AW14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3" s="60" t="str">
        <f>IF(Table2[[#This Row],[Counter Number]]="","","NA")</f>
        <v/>
      </c>
      <c r="AY143" s="172" t="str">
        <f>IF(Table2[[#This Row],[Counter Number]]="","",IF(Table2[[#This Row],[New Engine Fuel Type:]]="ULSD",Table1[[#This Row],[Annual Miles Traveled]]/Table1[[#This Row],[New Fuel (mpg) if Diesel]],""))</f>
        <v/>
      </c>
      <c r="AZ143" s="60"/>
      <c r="BA143" s="173" t="str">
        <f>IF(Table2[[#This Row],[Counter Number]]="","",Table2[[#This Row],[Annual Miles Traveled:]]*VLOOKUP(Table2[[#This Row],[Engine Model Year:]],EFTable[],3,FALSE))</f>
        <v/>
      </c>
      <c r="BB143" s="173" t="str">
        <f>IF(Table2[[#This Row],[Counter Number]]="","",Table2[[#This Row],[Annual Miles Traveled:]]*IF(Table2[[#This Row],[New Engine Fuel Type:]]="ULSD",VLOOKUP(Table2[[#This Row],[New Engine Model Year:]],EFTable[],3,FALSE),VLOOKUP(Table2[[#This Row],[New Engine Fuel Type:]],EFTable[],3,FALSE)))</f>
        <v/>
      </c>
      <c r="BC143" s="187" t="str">
        <f>IF(Table2[[#This Row],[Counter Number]]="","",Table2[[#This Row],[Old Bus NOx Emissions (tons/yr)]]-Table2[[#This Row],[New Bus NOx Emissions (tons/yr)]])</f>
        <v/>
      </c>
      <c r="BD143" s="188" t="str">
        <f>IF(Table2[[#This Row],[Counter Number]]="","",Table2[[#This Row],[Reduction Bus NOx Emissions (tons/yr)]]/Table2[[#This Row],[Old Bus NOx Emissions (tons/yr)]])</f>
        <v/>
      </c>
      <c r="BE143" s="175" t="str">
        <f>IF(Table2[[#This Row],[Counter Number]]="","",Table2[[#This Row],[Reduction Bus NOx Emissions (tons/yr)]]*Table2[[#This Row],[Remaining Life:]])</f>
        <v/>
      </c>
      <c r="BF143" s="189" t="str">
        <f>IF(Table2[[#This Row],[Counter Number]]="","",IF(Table2[[#This Row],[Lifetime NOx Reduction (tons)]]=0,"NA",Table2[[#This Row],[Upgrade Cost Per Unit]]/Table2[[#This Row],[Lifetime NOx Reduction (tons)]]))</f>
        <v/>
      </c>
      <c r="BG143" s="190" t="str">
        <f>IF(Table2[[#This Row],[Counter Number]]="","",Table2[[#This Row],[Annual Miles Traveled:]]*VLOOKUP(Table2[[#This Row],[Engine Model Year:]],EF!$A$2:$G$27,4,FALSE))</f>
        <v/>
      </c>
      <c r="BH143" s="173" t="str">
        <f>IF(Table2[[#This Row],[Counter Number]]="","",Table2[[#This Row],[Annual Miles Traveled:]]*IF(Table2[[#This Row],[New Engine Fuel Type:]]="ULSD",VLOOKUP(Table2[[#This Row],[New Engine Model Year:]],EFTable[],4,FALSE),VLOOKUP(Table2[[#This Row],[New Engine Fuel Type:]],EFTable[],4,FALSE)))</f>
        <v/>
      </c>
      <c r="BI143" s="191" t="str">
        <f>IF(Table2[[#This Row],[Counter Number]]="","",Table2[[#This Row],[Old Bus PM2.5 Emissions (tons/yr)]]-Table2[[#This Row],[New Bus PM2.5 Emissions (tons/yr)]])</f>
        <v/>
      </c>
      <c r="BJ143" s="192" t="str">
        <f>IF(Table2[[#This Row],[Counter Number]]="","",Table2[[#This Row],[Reduction Bus PM2.5 Emissions (tons/yr)]]/Table2[[#This Row],[Old Bus PM2.5 Emissions (tons/yr)]])</f>
        <v/>
      </c>
      <c r="BK143" s="193" t="str">
        <f>IF(Table2[[#This Row],[Counter Number]]="","",Table2[[#This Row],[Reduction Bus PM2.5 Emissions (tons/yr)]]*Table2[[#This Row],[Remaining Life:]])</f>
        <v/>
      </c>
      <c r="BL143" s="194" t="str">
        <f>IF(Table2[[#This Row],[Counter Number]]="","",IF(Table2[[#This Row],[Lifetime PM2.5 Reduction (tons)]]=0,"NA",Table2[[#This Row],[Upgrade Cost Per Unit]]/Table2[[#This Row],[Lifetime PM2.5 Reduction (tons)]]))</f>
        <v/>
      </c>
      <c r="BM143" s="179" t="str">
        <f>IF(Table2[[#This Row],[Counter Number]]="","",Table2[[#This Row],[Annual Miles Traveled:]]*VLOOKUP(Table2[[#This Row],[Engine Model Year:]],EF!$A$2:$G$40,5,FALSE))</f>
        <v/>
      </c>
      <c r="BN143" s="173" t="str">
        <f>IF(Table2[[#This Row],[Counter Number]]="","",Table2[[#This Row],[Annual Miles Traveled:]]*IF(Table2[[#This Row],[New Engine Fuel Type:]]="ULSD",VLOOKUP(Table2[[#This Row],[New Engine Model Year:]],EFTable[],5,FALSE),VLOOKUP(Table2[[#This Row],[New Engine Fuel Type:]],EFTable[],5,FALSE)))</f>
        <v/>
      </c>
      <c r="BO143" s="190" t="str">
        <f>IF(Table2[[#This Row],[Counter Number]]="","",Table2[[#This Row],[Old Bus HC Emissions (tons/yr)]]-Table2[[#This Row],[New Bus HC Emissions (tons/yr)]])</f>
        <v/>
      </c>
      <c r="BP143" s="188" t="str">
        <f>IF(Table2[[#This Row],[Counter Number]]="","",Table2[[#This Row],[Reduction Bus HC Emissions (tons/yr)]]/Table2[[#This Row],[Old Bus HC Emissions (tons/yr)]])</f>
        <v/>
      </c>
      <c r="BQ143" s="193" t="str">
        <f>IF(Table2[[#This Row],[Counter Number]]="","",Table2[[#This Row],[Reduction Bus HC Emissions (tons/yr)]]*Table2[[#This Row],[Remaining Life:]])</f>
        <v/>
      </c>
      <c r="BR143" s="194" t="str">
        <f>IF(Table2[[#This Row],[Counter Number]]="","",IF(Table2[[#This Row],[Lifetime HC Reduction (tons)]]=0,"NA",Table2[[#This Row],[Upgrade Cost Per Unit]]/Table2[[#This Row],[Lifetime HC Reduction (tons)]]))</f>
        <v/>
      </c>
      <c r="BS143" s="191" t="str">
        <f>IF(Table2[[#This Row],[Counter Number]]="","",Table2[[#This Row],[Annual Miles Traveled:]]*VLOOKUP(Table2[[#This Row],[Engine Model Year:]],EF!$A$2:$G$27,6,FALSE))</f>
        <v/>
      </c>
      <c r="BT143" s="173" t="str">
        <f>IF(Table2[[#This Row],[Counter Number]]="","",Table2[[#This Row],[Annual Miles Traveled:]]*IF(Table2[[#This Row],[New Engine Fuel Type:]]="ULSD",VLOOKUP(Table2[[#This Row],[New Engine Model Year:]],EFTable[],6,FALSE),VLOOKUP(Table2[[#This Row],[New Engine Fuel Type:]],EFTable[],6,FALSE)))</f>
        <v/>
      </c>
      <c r="BU143" s="190" t="str">
        <f>IF(Table2[[#This Row],[Counter Number]]="","",Table2[[#This Row],[Old Bus CO Emissions (tons/yr)]]-Table2[[#This Row],[New Bus CO Emissions (tons/yr)]])</f>
        <v/>
      </c>
      <c r="BV143" s="188" t="str">
        <f>IF(Table2[[#This Row],[Counter Number]]="","",Table2[[#This Row],[Reduction Bus CO Emissions (tons/yr)]]/Table2[[#This Row],[Old Bus CO Emissions (tons/yr)]])</f>
        <v/>
      </c>
      <c r="BW143" s="193" t="str">
        <f>IF(Table2[[#This Row],[Counter Number]]="","",Table2[[#This Row],[Reduction Bus CO Emissions (tons/yr)]]*Table2[[#This Row],[Remaining Life:]])</f>
        <v/>
      </c>
      <c r="BX143" s="194" t="str">
        <f>IF(Table2[[#This Row],[Counter Number]]="","",IF(Table2[[#This Row],[Lifetime CO Reduction (tons)]]=0,"NA",Table2[[#This Row],[Upgrade Cost Per Unit]]/Table2[[#This Row],[Lifetime CO Reduction (tons)]]))</f>
        <v/>
      </c>
      <c r="BY143" s="180" t="str">
        <f>IF(Table2[[#This Row],[Counter Number]]="","",Table2[[#This Row],[Old ULSD Used (gal):]]*VLOOKUP(Table2[[#This Row],[Engine Model Year:]],EF!$A$2:$G$27,7,FALSE))</f>
        <v/>
      </c>
      <c r="BZ14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3" s="195" t="str">
        <f>IF(Table2[[#This Row],[Counter Number]]="","",Table2[[#This Row],[Old Bus CO2 Emissions (tons/yr)]]-Table2[[#This Row],[New Bus CO2 Emissions (tons/yr)]])</f>
        <v/>
      </c>
      <c r="CB143" s="188" t="str">
        <f>IF(Table2[[#This Row],[Counter Number]]="","",Table2[[#This Row],[Reduction Bus CO2 Emissions (tons/yr)]]/Table2[[#This Row],[Old Bus CO2 Emissions (tons/yr)]])</f>
        <v/>
      </c>
      <c r="CC143" s="195" t="str">
        <f>IF(Table2[[#This Row],[Counter Number]]="","",Table2[[#This Row],[Reduction Bus CO2 Emissions (tons/yr)]]*Table2[[#This Row],[Remaining Life:]])</f>
        <v/>
      </c>
      <c r="CD143" s="194" t="str">
        <f>IF(Table2[[#This Row],[Counter Number]]="","",IF(Table2[[#This Row],[Lifetime CO2 Reduction (tons)]]=0,"NA",Table2[[#This Row],[Upgrade Cost Per Unit]]/Table2[[#This Row],[Lifetime CO2 Reduction (tons)]]))</f>
        <v/>
      </c>
      <c r="CE143" s="182" t="str">
        <f>IF(Table2[[#This Row],[Counter Number]]="","",IF(Table2[[#This Row],[New ULSD Used (gal):]]="",Table2[[#This Row],[Old ULSD Used (gal):]],Table2[[#This Row],[Old ULSD Used (gal):]]-Table2[[#This Row],[New ULSD Used (gal):]]))</f>
        <v/>
      </c>
      <c r="CF143" s="196" t="str">
        <f>IF(Table2[[#This Row],[Counter Number]]="","",Table2[[#This Row],[Diesel Fuel Reduction (gal/yr)]]/Table2[[#This Row],[Old ULSD Used (gal):]])</f>
        <v/>
      </c>
      <c r="CG143" s="197" t="str">
        <f>IF(Table2[[#This Row],[Counter Number]]="","",Table2[[#This Row],[Diesel Fuel Reduction (gal/yr)]]*Table2[[#This Row],[Remaining Life:]])</f>
        <v/>
      </c>
    </row>
    <row r="144" spans="1:85">
      <c r="A144" s="184" t="str">
        <f>IF(A143&lt;Application!$D$24,A143+1,"")</f>
        <v/>
      </c>
      <c r="B144" s="60" t="str">
        <f>IF(Table2[[#This Row],[Counter Number]]="","",Application!$D$16)</f>
        <v/>
      </c>
      <c r="C144" s="60" t="str">
        <f>IF(Table2[[#This Row],[Counter Number]]="","",Application!$D$14)</f>
        <v/>
      </c>
      <c r="D144" s="60" t="str">
        <f>IF(Table2[[#This Row],[Counter Number]]="","",Table1[[#This Row],[Old Bus Number]])</f>
        <v/>
      </c>
      <c r="E144" s="60" t="str">
        <f>IF(Table2[[#This Row],[Counter Number]]="","",Application!$D$15)</f>
        <v/>
      </c>
      <c r="F144" s="60" t="str">
        <f>IF(Table2[[#This Row],[Counter Number]]="","","On Highway")</f>
        <v/>
      </c>
      <c r="G144" s="60" t="str">
        <f>IF(Table2[[#This Row],[Counter Number]]="","",I144)</f>
        <v/>
      </c>
      <c r="H144" s="60" t="str">
        <f>IF(Table2[[#This Row],[Counter Number]]="","","Georgia")</f>
        <v/>
      </c>
      <c r="I144" s="60" t="str">
        <f>IF(Table2[[#This Row],[Counter Number]]="","",Application!$D$16)</f>
        <v/>
      </c>
      <c r="J144" s="60" t="str">
        <f>IF(Table2[[#This Row],[Counter Number]]="","",Application!$D$21)</f>
        <v/>
      </c>
      <c r="K144" s="60" t="str">
        <f>IF(Table2[[#This Row],[Counter Number]]="","",Application!$J$21)</f>
        <v/>
      </c>
      <c r="L144" s="60" t="str">
        <f>IF(Table2[[#This Row],[Counter Number]]="","","School Bus")</f>
        <v/>
      </c>
      <c r="M144" s="60" t="str">
        <f>IF(Table2[[#This Row],[Counter Number]]="","","School Bus")</f>
        <v/>
      </c>
      <c r="N144" s="60" t="str">
        <f>IF(Table2[[#This Row],[Counter Number]]="","",1)</f>
        <v/>
      </c>
      <c r="O144" s="60" t="str">
        <f>IF(Table2[[#This Row],[Counter Number]]="","",Table1[[#This Row],[Vehicle Identification Number(s):]])</f>
        <v/>
      </c>
      <c r="P144" s="60" t="str">
        <f>IF(Table2[[#This Row],[Counter Number]]="","",Table1[[#This Row],[Old Bus Manufacturer:]])</f>
        <v/>
      </c>
      <c r="Q144" s="60" t="str">
        <f>IF(Table2[[#This Row],[Counter Number]]="","",Table1[[#This Row],[Vehicle Model:]])</f>
        <v/>
      </c>
      <c r="R144" s="165" t="str">
        <f>IF(Table2[[#This Row],[Counter Number]]="","",Table1[[#This Row],[Vehicle Model Year:]])</f>
        <v/>
      </c>
      <c r="S144" s="60" t="str">
        <f>IF(Table2[[#This Row],[Counter Number]]="","",Table1[[#This Row],[Engine Serial Number(s):]])</f>
        <v/>
      </c>
      <c r="T144" s="60" t="str">
        <f>IF(Table2[[#This Row],[Counter Number]]="","",Table1[[#This Row],[Engine Make:]])</f>
        <v/>
      </c>
      <c r="U144" s="60" t="str">
        <f>IF(Table2[[#This Row],[Counter Number]]="","",Table1[[#This Row],[Engine Model:]])</f>
        <v/>
      </c>
      <c r="V144" s="165" t="str">
        <f>IF(Table2[[#This Row],[Counter Number]]="","",Table1[[#This Row],[Engine Model Year:]])</f>
        <v/>
      </c>
      <c r="W144" s="60" t="str">
        <f>IF(Table2[[#This Row],[Counter Number]]="","","NA")</f>
        <v/>
      </c>
      <c r="X144" s="165" t="str">
        <f>IF(Table2[[#This Row],[Counter Number]]="","",Table1[[#This Row],[Engine Horsepower (HP):]])</f>
        <v/>
      </c>
      <c r="Y144" s="165" t="str">
        <f>IF(Table2[[#This Row],[Counter Number]]="","",Table1[[#This Row],[Engine Cylinder Displacement (L):]]&amp;" L")</f>
        <v/>
      </c>
      <c r="Z144" s="165" t="str">
        <f>IF(Table2[[#This Row],[Counter Number]]="","",Table1[[#This Row],[Engine Number of Cylinders:]])</f>
        <v/>
      </c>
      <c r="AA144" s="166" t="str">
        <f>IF(Table2[[#This Row],[Counter Number]]="","",Table1[[#This Row],[Engine Family Name:]])</f>
        <v/>
      </c>
      <c r="AB144" s="60" t="str">
        <f>IF(Table2[[#This Row],[Counter Number]]="","","ULSD")</f>
        <v/>
      </c>
      <c r="AC144" s="167" t="str">
        <f>IF(Table2[[#This Row],[Counter Number]]="","",Table2[[#This Row],[Annual Miles Traveled:]]/Table1[[#This Row],[Old Fuel (mpg)]])</f>
        <v/>
      </c>
      <c r="AD144" s="60" t="str">
        <f>IF(Table2[[#This Row],[Counter Number]]="","","NA")</f>
        <v/>
      </c>
      <c r="AE144" s="168" t="str">
        <f>IF(Table2[[#This Row],[Counter Number]]="","",Table1[[#This Row],[Annual Miles Traveled]])</f>
        <v/>
      </c>
      <c r="AF144" s="169" t="str">
        <f>IF(Table2[[#This Row],[Counter Number]]="","",Table1[[#This Row],[Annual Idling Hours:]])</f>
        <v/>
      </c>
      <c r="AG144" s="60" t="str">
        <f>IF(Table2[[#This Row],[Counter Number]]="","","NA")</f>
        <v/>
      </c>
      <c r="AH144" s="165" t="str">
        <f>IF(Table2[[#This Row],[Counter Number]]="","",IF(Application!$J$25="Set Policy",Table1[[#This Row],[Remaining Life (years)         Set Policy]],Table1[[#This Row],[Remaining Life (years)               Case-by-Case]]))</f>
        <v/>
      </c>
      <c r="AI144" s="165" t="str">
        <f>IF(Table2[[#This Row],[Counter Number]]="","",IF(Application!$J$25="Case-by-Case","NA",Table2[[#This Row],[Fiscal Year of EPA Funds Used:]]+Table2[[#This Row],[Remaining Life:]]))</f>
        <v/>
      </c>
      <c r="AJ144" s="165"/>
      <c r="AK144" s="170" t="str">
        <f>IF(Table2[[#This Row],[Counter Number]]="","",Application!$D$14+1)</f>
        <v/>
      </c>
      <c r="AL144" s="60" t="str">
        <f>IF(Table2[[#This Row],[Counter Number]]="","","Vehicle Replacement")</f>
        <v/>
      </c>
      <c r="AM14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4" s="171" t="str">
        <f>IF(Table2[[#This Row],[Counter Number]]="","",Table1[[#This Row],[Cost of New Bus:]])</f>
        <v/>
      </c>
      <c r="AO144" s="60" t="str">
        <f>IF(Table2[[#This Row],[Counter Number]]="","","NA")</f>
        <v/>
      </c>
      <c r="AP144" s="165" t="str">
        <f>IF(Table2[[#This Row],[Counter Number]]="","",Table1[[#This Row],[New Engine Model Year:]])</f>
        <v/>
      </c>
      <c r="AQ144" s="60" t="str">
        <f>IF(Table2[[#This Row],[Counter Number]]="","","NA")</f>
        <v/>
      </c>
      <c r="AR144" s="165" t="str">
        <f>IF(Table2[[#This Row],[Counter Number]]="","",Table1[[#This Row],[New Engine Horsepower (HP):]])</f>
        <v/>
      </c>
      <c r="AS144" s="60" t="str">
        <f>IF(Table2[[#This Row],[Counter Number]]="","","NA")</f>
        <v/>
      </c>
      <c r="AT144" s="165" t="str">
        <f>IF(Table2[[#This Row],[Counter Number]]="","",Table1[[#This Row],[New Engine Cylinder Displacement (L):]]&amp;" L")</f>
        <v/>
      </c>
      <c r="AU144" s="114" t="str">
        <f>IF(Table2[[#This Row],[Counter Number]]="","",Table1[[#This Row],[New Engine Number of Cylinders:]])</f>
        <v/>
      </c>
      <c r="AV144" s="60" t="str">
        <f>IF(Table2[[#This Row],[Counter Number]]="","",Table1[[#This Row],[New Engine Family Name:]])</f>
        <v/>
      </c>
      <c r="AW14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4" s="60" t="str">
        <f>IF(Table2[[#This Row],[Counter Number]]="","","NA")</f>
        <v/>
      </c>
      <c r="AY144" s="172" t="str">
        <f>IF(Table2[[#This Row],[Counter Number]]="","",IF(Table2[[#This Row],[New Engine Fuel Type:]]="ULSD",Table1[[#This Row],[Annual Miles Traveled]]/Table1[[#This Row],[New Fuel (mpg) if Diesel]],""))</f>
        <v/>
      </c>
      <c r="AZ144" s="60"/>
      <c r="BA144" s="173" t="str">
        <f>IF(Table2[[#This Row],[Counter Number]]="","",Table2[[#This Row],[Annual Miles Traveled:]]*VLOOKUP(Table2[[#This Row],[Engine Model Year:]],EFTable[],3,FALSE))</f>
        <v/>
      </c>
      <c r="BB144" s="173" t="str">
        <f>IF(Table2[[#This Row],[Counter Number]]="","",Table2[[#This Row],[Annual Miles Traveled:]]*IF(Table2[[#This Row],[New Engine Fuel Type:]]="ULSD",VLOOKUP(Table2[[#This Row],[New Engine Model Year:]],EFTable[],3,FALSE),VLOOKUP(Table2[[#This Row],[New Engine Fuel Type:]],EFTable[],3,FALSE)))</f>
        <v/>
      </c>
      <c r="BC144" s="187" t="str">
        <f>IF(Table2[[#This Row],[Counter Number]]="","",Table2[[#This Row],[Old Bus NOx Emissions (tons/yr)]]-Table2[[#This Row],[New Bus NOx Emissions (tons/yr)]])</f>
        <v/>
      </c>
      <c r="BD144" s="188" t="str">
        <f>IF(Table2[[#This Row],[Counter Number]]="","",Table2[[#This Row],[Reduction Bus NOx Emissions (tons/yr)]]/Table2[[#This Row],[Old Bus NOx Emissions (tons/yr)]])</f>
        <v/>
      </c>
      <c r="BE144" s="175" t="str">
        <f>IF(Table2[[#This Row],[Counter Number]]="","",Table2[[#This Row],[Reduction Bus NOx Emissions (tons/yr)]]*Table2[[#This Row],[Remaining Life:]])</f>
        <v/>
      </c>
      <c r="BF144" s="189" t="str">
        <f>IF(Table2[[#This Row],[Counter Number]]="","",IF(Table2[[#This Row],[Lifetime NOx Reduction (tons)]]=0,"NA",Table2[[#This Row],[Upgrade Cost Per Unit]]/Table2[[#This Row],[Lifetime NOx Reduction (tons)]]))</f>
        <v/>
      </c>
      <c r="BG144" s="190" t="str">
        <f>IF(Table2[[#This Row],[Counter Number]]="","",Table2[[#This Row],[Annual Miles Traveled:]]*VLOOKUP(Table2[[#This Row],[Engine Model Year:]],EF!$A$2:$G$27,4,FALSE))</f>
        <v/>
      </c>
      <c r="BH144" s="173" t="str">
        <f>IF(Table2[[#This Row],[Counter Number]]="","",Table2[[#This Row],[Annual Miles Traveled:]]*IF(Table2[[#This Row],[New Engine Fuel Type:]]="ULSD",VLOOKUP(Table2[[#This Row],[New Engine Model Year:]],EFTable[],4,FALSE),VLOOKUP(Table2[[#This Row],[New Engine Fuel Type:]],EFTable[],4,FALSE)))</f>
        <v/>
      </c>
      <c r="BI144" s="191" t="str">
        <f>IF(Table2[[#This Row],[Counter Number]]="","",Table2[[#This Row],[Old Bus PM2.5 Emissions (tons/yr)]]-Table2[[#This Row],[New Bus PM2.5 Emissions (tons/yr)]])</f>
        <v/>
      </c>
      <c r="BJ144" s="192" t="str">
        <f>IF(Table2[[#This Row],[Counter Number]]="","",Table2[[#This Row],[Reduction Bus PM2.5 Emissions (tons/yr)]]/Table2[[#This Row],[Old Bus PM2.5 Emissions (tons/yr)]])</f>
        <v/>
      </c>
      <c r="BK144" s="193" t="str">
        <f>IF(Table2[[#This Row],[Counter Number]]="","",Table2[[#This Row],[Reduction Bus PM2.5 Emissions (tons/yr)]]*Table2[[#This Row],[Remaining Life:]])</f>
        <v/>
      </c>
      <c r="BL144" s="194" t="str">
        <f>IF(Table2[[#This Row],[Counter Number]]="","",IF(Table2[[#This Row],[Lifetime PM2.5 Reduction (tons)]]=0,"NA",Table2[[#This Row],[Upgrade Cost Per Unit]]/Table2[[#This Row],[Lifetime PM2.5 Reduction (tons)]]))</f>
        <v/>
      </c>
      <c r="BM144" s="179" t="str">
        <f>IF(Table2[[#This Row],[Counter Number]]="","",Table2[[#This Row],[Annual Miles Traveled:]]*VLOOKUP(Table2[[#This Row],[Engine Model Year:]],EF!$A$2:$G$40,5,FALSE))</f>
        <v/>
      </c>
      <c r="BN144" s="173" t="str">
        <f>IF(Table2[[#This Row],[Counter Number]]="","",Table2[[#This Row],[Annual Miles Traveled:]]*IF(Table2[[#This Row],[New Engine Fuel Type:]]="ULSD",VLOOKUP(Table2[[#This Row],[New Engine Model Year:]],EFTable[],5,FALSE),VLOOKUP(Table2[[#This Row],[New Engine Fuel Type:]],EFTable[],5,FALSE)))</f>
        <v/>
      </c>
      <c r="BO144" s="190" t="str">
        <f>IF(Table2[[#This Row],[Counter Number]]="","",Table2[[#This Row],[Old Bus HC Emissions (tons/yr)]]-Table2[[#This Row],[New Bus HC Emissions (tons/yr)]])</f>
        <v/>
      </c>
      <c r="BP144" s="188" t="str">
        <f>IF(Table2[[#This Row],[Counter Number]]="","",Table2[[#This Row],[Reduction Bus HC Emissions (tons/yr)]]/Table2[[#This Row],[Old Bus HC Emissions (tons/yr)]])</f>
        <v/>
      </c>
      <c r="BQ144" s="193" t="str">
        <f>IF(Table2[[#This Row],[Counter Number]]="","",Table2[[#This Row],[Reduction Bus HC Emissions (tons/yr)]]*Table2[[#This Row],[Remaining Life:]])</f>
        <v/>
      </c>
      <c r="BR144" s="194" t="str">
        <f>IF(Table2[[#This Row],[Counter Number]]="","",IF(Table2[[#This Row],[Lifetime HC Reduction (tons)]]=0,"NA",Table2[[#This Row],[Upgrade Cost Per Unit]]/Table2[[#This Row],[Lifetime HC Reduction (tons)]]))</f>
        <v/>
      </c>
      <c r="BS144" s="191" t="str">
        <f>IF(Table2[[#This Row],[Counter Number]]="","",Table2[[#This Row],[Annual Miles Traveled:]]*VLOOKUP(Table2[[#This Row],[Engine Model Year:]],EF!$A$2:$G$27,6,FALSE))</f>
        <v/>
      </c>
      <c r="BT144" s="173" t="str">
        <f>IF(Table2[[#This Row],[Counter Number]]="","",Table2[[#This Row],[Annual Miles Traveled:]]*IF(Table2[[#This Row],[New Engine Fuel Type:]]="ULSD",VLOOKUP(Table2[[#This Row],[New Engine Model Year:]],EFTable[],6,FALSE),VLOOKUP(Table2[[#This Row],[New Engine Fuel Type:]],EFTable[],6,FALSE)))</f>
        <v/>
      </c>
      <c r="BU144" s="190" t="str">
        <f>IF(Table2[[#This Row],[Counter Number]]="","",Table2[[#This Row],[Old Bus CO Emissions (tons/yr)]]-Table2[[#This Row],[New Bus CO Emissions (tons/yr)]])</f>
        <v/>
      </c>
      <c r="BV144" s="188" t="str">
        <f>IF(Table2[[#This Row],[Counter Number]]="","",Table2[[#This Row],[Reduction Bus CO Emissions (tons/yr)]]/Table2[[#This Row],[Old Bus CO Emissions (tons/yr)]])</f>
        <v/>
      </c>
      <c r="BW144" s="193" t="str">
        <f>IF(Table2[[#This Row],[Counter Number]]="","",Table2[[#This Row],[Reduction Bus CO Emissions (tons/yr)]]*Table2[[#This Row],[Remaining Life:]])</f>
        <v/>
      </c>
      <c r="BX144" s="194" t="str">
        <f>IF(Table2[[#This Row],[Counter Number]]="","",IF(Table2[[#This Row],[Lifetime CO Reduction (tons)]]=0,"NA",Table2[[#This Row],[Upgrade Cost Per Unit]]/Table2[[#This Row],[Lifetime CO Reduction (tons)]]))</f>
        <v/>
      </c>
      <c r="BY144" s="180" t="str">
        <f>IF(Table2[[#This Row],[Counter Number]]="","",Table2[[#This Row],[Old ULSD Used (gal):]]*VLOOKUP(Table2[[#This Row],[Engine Model Year:]],EF!$A$2:$G$27,7,FALSE))</f>
        <v/>
      </c>
      <c r="BZ14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4" s="195" t="str">
        <f>IF(Table2[[#This Row],[Counter Number]]="","",Table2[[#This Row],[Old Bus CO2 Emissions (tons/yr)]]-Table2[[#This Row],[New Bus CO2 Emissions (tons/yr)]])</f>
        <v/>
      </c>
      <c r="CB144" s="188" t="str">
        <f>IF(Table2[[#This Row],[Counter Number]]="","",Table2[[#This Row],[Reduction Bus CO2 Emissions (tons/yr)]]/Table2[[#This Row],[Old Bus CO2 Emissions (tons/yr)]])</f>
        <v/>
      </c>
      <c r="CC144" s="195" t="str">
        <f>IF(Table2[[#This Row],[Counter Number]]="","",Table2[[#This Row],[Reduction Bus CO2 Emissions (tons/yr)]]*Table2[[#This Row],[Remaining Life:]])</f>
        <v/>
      </c>
      <c r="CD144" s="194" t="str">
        <f>IF(Table2[[#This Row],[Counter Number]]="","",IF(Table2[[#This Row],[Lifetime CO2 Reduction (tons)]]=0,"NA",Table2[[#This Row],[Upgrade Cost Per Unit]]/Table2[[#This Row],[Lifetime CO2 Reduction (tons)]]))</f>
        <v/>
      </c>
      <c r="CE144" s="182" t="str">
        <f>IF(Table2[[#This Row],[Counter Number]]="","",IF(Table2[[#This Row],[New ULSD Used (gal):]]="",Table2[[#This Row],[Old ULSD Used (gal):]],Table2[[#This Row],[Old ULSD Used (gal):]]-Table2[[#This Row],[New ULSD Used (gal):]]))</f>
        <v/>
      </c>
      <c r="CF144" s="196" t="str">
        <f>IF(Table2[[#This Row],[Counter Number]]="","",Table2[[#This Row],[Diesel Fuel Reduction (gal/yr)]]/Table2[[#This Row],[Old ULSD Used (gal):]])</f>
        <v/>
      </c>
      <c r="CG144" s="197" t="str">
        <f>IF(Table2[[#This Row],[Counter Number]]="","",Table2[[#This Row],[Diesel Fuel Reduction (gal/yr)]]*Table2[[#This Row],[Remaining Life:]])</f>
        <v/>
      </c>
    </row>
    <row r="145" spans="1:85">
      <c r="A145" s="184" t="str">
        <f>IF(A144&lt;Application!$D$24,A144+1,"")</f>
        <v/>
      </c>
      <c r="B145" s="60" t="str">
        <f>IF(Table2[[#This Row],[Counter Number]]="","",Application!$D$16)</f>
        <v/>
      </c>
      <c r="C145" s="60" t="str">
        <f>IF(Table2[[#This Row],[Counter Number]]="","",Application!$D$14)</f>
        <v/>
      </c>
      <c r="D145" s="60" t="str">
        <f>IF(Table2[[#This Row],[Counter Number]]="","",Table1[[#This Row],[Old Bus Number]])</f>
        <v/>
      </c>
      <c r="E145" s="60" t="str">
        <f>IF(Table2[[#This Row],[Counter Number]]="","",Application!$D$15)</f>
        <v/>
      </c>
      <c r="F145" s="60" t="str">
        <f>IF(Table2[[#This Row],[Counter Number]]="","","On Highway")</f>
        <v/>
      </c>
      <c r="G145" s="60" t="str">
        <f>IF(Table2[[#This Row],[Counter Number]]="","",I145)</f>
        <v/>
      </c>
      <c r="H145" s="60" t="str">
        <f>IF(Table2[[#This Row],[Counter Number]]="","","Georgia")</f>
        <v/>
      </c>
      <c r="I145" s="60" t="str">
        <f>IF(Table2[[#This Row],[Counter Number]]="","",Application!$D$16)</f>
        <v/>
      </c>
      <c r="J145" s="60" t="str">
        <f>IF(Table2[[#This Row],[Counter Number]]="","",Application!$D$21)</f>
        <v/>
      </c>
      <c r="K145" s="60" t="str">
        <f>IF(Table2[[#This Row],[Counter Number]]="","",Application!$J$21)</f>
        <v/>
      </c>
      <c r="L145" s="60" t="str">
        <f>IF(Table2[[#This Row],[Counter Number]]="","","School Bus")</f>
        <v/>
      </c>
      <c r="M145" s="60" t="str">
        <f>IF(Table2[[#This Row],[Counter Number]]="","","School Bus")</f>
        <v/>
      </c>
      <c r="N145" s="60" t="str">
        <f>IF(Table2[[#This Row],[Counter Number]]="","",1)</f>
        <v/>
      </c>
      <c r="O145" s="60" t="str">
        <f>IF(Table2[[#This Row],[Counter Number]]="","",Table1[[#This Row],[Vehicle Identification Number(s):]])</f>
        <v/>
      </c>
      <c r="P145" s="60" t="str">
        <f>IF(Table2[[#This Row],[Counter Number]]="","",Table1[[#This Row],[Old Bus Manufacturer:]])</f>
        <v/>
      </c>
      <c r="Q145" s="60" t="str">
        <f>IF(Table2[[#This Row],[Counter Number]]="","",Table1[[#This Row],[Vehicle Model:]])</f>
        <v/>
      </c>
      <c r="R145" s="165" t="str">
        <f>IF(Table2[[#This Row],[Counter Number]]="","",Table1[[#This Row],[Vehicle Model Year:]])</f>
        <v/>
      </c>
      <c r="S145" s="60" t="str">
        <f>IF(Table2[[#This Row],[Counter Number]]="","",Table1[[#This Row],[Engine Serial Number(s):]])</f>
        <v/>
      </c>
      <c r="T145" s="60" t="str">
        <f>IF(Table2[[#This Row],[Counter Number]]="","",Table1[[#This Row],[Engine Make:]])</f>
        <v/>
      </c>
      <c r="U145" s="60" t="str">
        <f>IF(Table2[[#This Row],[Counter Number]]="","",Table1[[#This Row],[Engine Model:]])</f>
        <v/>
      </c>
      <c r="V145" s="165" t="str">
        <f>IF(Table2[[#This Row],[Counter Number]]="","",Table1[[#This Row],[Engine Model Year:]])</f>
        <v/>
      </c>
      <c r="W145" s="60" t="str">
        <f>IF(Table2[[#This Row],[Counter Number]]="","","NA")</f>
        <v/>
      </c>
      <c r="X145" s="165" t="str">
        <f>IF(Table2[[#This Row],[Counter Number]]="","",Table1[[#This Row],[Engine Horsepower (HP):]])</f>
        <v/>
      </c>
      <c r="Y145" s="165" t="str">
        <f>IF(Table2[[#This Row],[Counter Number]]="","",Table1[[#This Row],[Engine Cylinder Displacement (L):]]&amp;" L")</f>
        <v/>
      </c>
      <c r="Z145" s="165" t="str">
        <f>IF(Table2[[#This Row],[Counter Number]]="","",Table1[[#This Row],[Engine Number of Cylinders:]])</f>
        <v/>
      </c>
      <c r="AA145" s="166" t="str">
        <f>IF(Table2[[#This Row],[Counter Number]]="","",Table1[[#This Row],[Engine Family Name:]])</f>
        <v/>
      </c>
      <c r="AB145" s="60" t="str">
        <f>IF(Table2[[#This Row],[Counter Number]]="","","ULSD")</f>
        <v/>
      </c>
      <c r="AC145" s="167" t="str">
        <f>IF(Table2[[#This Row],[Counter Number]]="","",Table2[[#This Row],[Annual Miles Traveled:]]/Table1[[#This Row],[Old Fuel (mpg)]])</f>
        <v/>
      </c>
      <c r="AD145" s="60" t="str">
        <f>IF(Table2[[#This Row],[Counter Number]]="","","NA")</f>
        <v/>
      </c>
      <c r="AE145" s="168" t="str">
        <f>IF(Table2[[#This Row],[Counter Number]]="","",Table1[[#This Row],[Annual Miles Traveled]])</f>
        <v/>
      </c>
      <c r="AF145" s="169" t="str">
        <f>IF(Table2[[#This Row],[Counter Number]]="","",Table1[[#This Row],[Annual Idling Hours:]])</f>
        <v/>
      </c>
      <c r="AG145" s="60" t="str">
        <f>IF(Table2[[#This Row],[Counter Number]]="","","NA")</f>
        <v/>
      </c>
      <c r="AH145" s="165" t="str">
        <f>IF(Table2[[#This Row],[Counter Number]]="","",IF(Application!$J$25="Set Policy",Table1[[#This Row],[Remaining Life (years)         Set Policy]],Table1[[#This Row],[Remaining Life (years)               Case-by-Case]]))</f>
        <v/>
      </c>
      <c r="AI145" s="165" t="str">
        <f>IF(Table2[[#This Row],[Counter Number]]="","",IF(Application!$J$25="Case-by-Case","NA",Table2[[#This Row],[Fiscal Year of EPA Funds Used:]]+Table2[[#This Row],[Remaining Life:]]))</f>
        <v/>
      </c>
      <c r="AJ145" s="165"/>
      <c r="AK145" s="170" t="str">
        <f>IF(Table2[[#This Row],[Counter Number]]="","",Application!$D$14+1)</f>
        <v/>
      </c>
      <c r="AL145" s="60" t="str">
        <f>IF(Table2[[#This Row],[Counter Number]]="","","Vehicle Replacement")</f>
        <v/>
      </c>
      <c r="AM14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5" s="171" t="str">
        <f>IF(Table2[[#This Row],[Counter Number]]="","",Table1[[#This Row],[Cost of New Bus:]])</f>
        <v/>
      </c>
      <c r="AO145" s="60" t="str">
        <f>IF(Table2[[#This Row],[Counter Number]]="","","NA")</f>
        <v/>
      </c>
      <c r="AP145" s="165" t="str">
        <f>IF(Table2[[#This Row],[Counter Number]]="","",Table1[[#This Row],[New Engine Model Year:]])</f>
        <v/>
      </c>
      <c r="AQ145" s="60" t="str">
        <f>IF(Table2[[#This Row],[Counter Number]]="","","NA")</f>
        <v/>
      </c>
      <c r="AR145" s="165" t="str">
        <f>IF(Table2[[#This Row],[Counter Number]]="","",Table1[[#This Row],[New Engine Horsepower (HP):]])</f>
        <v/>
      </c>
      <c r="AS145" s="60" t="str">
        <f>IF(Table2[[#This Row],[Counter Number]]="","","NA")</f>
        <v/>
      </c>
      <c r="AT145" s="165" t="str">
        <f>IF(Table2[[#This Row],[Counter Number]]="","",Table1[[#This Row],[New Engine Cylinder Displacement (L):]]&amp;" L")</f>
        <v/>
      </c>
      <c r="AU145" s="114" t="str">
        <f>IF(Table2[[#This Row],[Counter Number]]="","",Table1[[#This Row],[New Engine Number of Cylinders:]])</f>
        <v/>
      </c>
      <c r="AV145" s="60" t="str">
        <f>IF(Table2[[#This Row],[Counter Number]]="","",Table1[[#This Row],[New Engine Family Name:]])</f>
        <v/>
      </c>
      <c r="AW14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5" s="60" t="str">
        <f>IF(Table2[[#This Row],[Counter Number]]="","","NA")</f>
        <v/>
      </c>
      <c r="AY145" s="172" t="str">
        <f>IF(Table2[[#This Row],[Counter Number]]="","",IF(Table2[[#This Row],[New Engine Fuel Type:]]="ULSD",Table1[[#This Row],[Annual Miles Traveled]]/Table1[[#This Row],[New Fuel (mpg) if Diesel]],""))</f>
        <v/>
      </c>
      <c r="AZ145" s="60"/>
      <c r="BA145" s="173" t="str">
        <f>IF(Table2[[#This Row],[Counter Number]]="","",Table2[[#This Row],[Annual Miles Traveled:]]*VLOOKUP(Table2[[#This Row],[Engine Model Year:]],EFTable[],3,FALSE))</f>
        <v/>
      </c>
      <c r="BB145" s="173" t="str">
        <f>IF(Table2[[#This Row],[Counter Number]]="","",Table2[[#This Row],[Annual Miles Traveled:]]*IF(Table2[[#This Row],[New Engine Fuel Type:]]="ULSD",VLOOKUP(Table2[[#This Row],[New Engine Model Year:]],EFTable[],3,FALSE),VLOOKUP(Table2[[#This Row],[New Engine Fuel Type:]],EFTable[],3,FALSE)))</f>
        <v/>
      </c>
      <c r="BC145" s="187" t="str">
        <f>IF(Table2[[#This Row],[Counter Number]]="","",Table2[[#This Row],[Old Bus NOx Emissions (tons/yr)]]-Table2[[#This Row],[New Bus NOx Emissions (tons/yr)]])</f>
        <v/>
      </c>
      <c r="BD145" s="188" t="str">
        <f>IF(Table2[[#This Row],[Counter Number]]="","",Table2[[#This Row],[Reduction Bus NOx Emissions (tons/yr)]]/Table2[[#This Row],[Old Bus NOx Emissions (tons/yr)]])</f>
        <v/>
      </c>
      <c r="BE145" s="175" t="str">
        <f>IF(Table2[[#This Row],[Counter Number]]="","",Table2[[#This Row],[Reduction Bus NOx Emissions (tons/yr)]]*Table2[[#This Row],[Remaining Life:]])</f>
        <v/>
      </c>
      <c r="BF145" s="189" t="str">
        <f>IF(Table2[[#This Row],[Counter Number]]="","",IF(Table2[[#This Row],[Lifetime NOx Reduction (tons)]]=0,"NA",Table2[[#This Row],[Upgrade Cost Per Unit]]/Table2[[#This Row],[Lifetime NOx Reduction (tons)]]))</f>
        <v/>
      </c>
      <c r="BG145" s="190" t="str">
        <f>IF(Table2[[#This Row],[Counter Number]]="","",Table2[[#This Row],[Annual Miles Traveled:]]*VLOOKUP(Table2[[#This Row],[Engine Model Year:]],EF!$A$2:$G$27,4,FALSE))</f>
        <v/>
      </c>
      <c r="BH145" s="173" t="str">
        <f>IF(Table2[[#This Row],[Counter Number]]="","",Table2[[#This Row],[Annual Miles Traveled:]]*IF(Table2[[#This Row],[New Engine Fuel Type:]]="ULSD",VLOOKUP(Table2[[#This Row],[New Engine Model Year:]],EFTable[],4,FALSE),VLOOKUP(Table2[[#This Row],[New Engine Fuel Type:]],EFTable[],4,FALSE)))</f>
        <v/>
      </c>
      <c r="BI145" s="191" t="str">
        <f>IF(Table2[[#This Row],[Counter Number]]="","",Table2[[#This Row],[Old Bus PM2.5 Emissions (tons/yr)]]-Table2[[#This Row],[New Bus PM2.5 Emissions (tons/yr)]])</f>
        <v/>
      </c>
      <c r="BJ145" s="192" t="str">
        <f>IF(Table2[[#This Row],[Counter Number]]="","",Table2[[#This Row],[Reduction Bus PM2.5 Emissions (tons/yr)]]/Table2[[#This Row],[Old Bus PM2.5 Emissions (tons/yr)]])</f>
        <v/>
      </c>
      <c r="BK145" s="193" t="str">
        <f>IF(Table2[[#This Row],[Counter Number]]="","",Table2[[#This Row],[Reduction Bus PM2.5 Emissions (tons/yr)]]*Table2[[#This Row],[Remaining Life:]])</f>
        <v/>
      </c>
      <c r="BL145" s="194" t="str">
        <f>IF(Table2[[#This Row],[Counter Number]]="","",IF(Table2[[#This Row],[Lifetime PM2.5 Reduction (tons)]]=0,"NA",Table2[[#This Row],[Upgrade Cost Per Unit]]/Table2[[#This Row],[Lifetime PM2.5 Reduction (tons)]]))</f>
        <v/>
      </c>
      <c r="BM145" s="179" t="str">
        <f>IF(Table2[[#This Row],[Counter Number]]="","",Table2[[#This Row],[Annual Miles Traveled:]]*VLOOKUP(Table2[[#This Row],[Engine Model Year:]],EF!$A$2:$G$40,5,FALSE))</f>
        <v/>
      </c>
      <c r="BN145" s="173" t="str">
        <f>IF(Table2[[#This Row],[Counter Number]]="","",Table2[[#This Row],[Annual Miles Traveled:]]*IF(Table2[[#This Row],[New Engine Fuel Type:]]="ULSD",VLOOKUP(Table2[[#This Row],[New Engine Model Year:]],EFTable[],5,FALSE),VLOOKUP(Table2[[#This Row],[New Engine Fuel Type:]],EFTable[],5,FALSE)))</f>
        <v/>
      </c>
      <c r="BO145" s="190" t="str">
        <f>IF(Table2[[#This Row],[Counter Number]]="","",Table2[[#This Row],[Old Bus HC Emissions (tons/yr)]]-Table2[[#This Row],[New Bus HC Emissions (tons/yr)]])</f>
        <v/>
      </c>
      <c r="BP145" s="188" t="str">
        <f>IF(Table2[[#This Row],[Counter Number]]="","",Table2[[#This Row],[Reduction Bus HC Emissions (tons/yr)]]/Table2[[#This Row],[Old Bus HC Emissions (tons/yr)]])</f>
        <v/>
      </c>
      <c r="BQ145" s="193" t="str">
        <f>IF(Table2[[#This Row],[Counter Number]]="","",Table2[[#This Row],[Reduction Bus HC Emissions (tons/yr)]]*Table2[[#This Row],[Remaining Life:]])</f>
        <v/>
      </c>
      <c r="BR145" s="194" t="str">
        <f>IF(Table2[[#This Row],[Counter Number]]="","",IF(Table2[[#This Row],[Lifetime HC Reduction (tons)]]=0,"NA",Table2[[#This Row],[Upgrade Cost Per Unit]]/Table2[[#This Row],[Lifetime HC Reduction (tons)]]))</f>
        <v/>
      </c>
      <c r="BS145" s="191" t="str">
        <f>IF(Table2[[#This Row],[Counter Number]]="","",Table2[[#This Row],[Annual Miles Traveled:]]*VLOOKUP(Table2[[#This Row],[Engine Model Year:]],EF!$A$2:$G$27,6,FALSE))</f>
        <v/>
      </c>
      <c r="BT145" s="173" t="str">
        <f>IF(Table2[[#This Row],[Counter Number]]="","",Table2[[#This Row],[Annual Miles Traveled:]]*IF(Table2[[#This Row],[New Engine Fuel Type:]]="ULSD",VLOOKUP(Table2[[#This Row],[New Engine Model Year:]],EFTable[],6,FALSE),VLOOKUP(Table2[[#This Row],[New Engine Fuel Type:]],EFTable[],6,FALSE)))</f>
        <v/>
      </c>
      <c r="BU145" s="190" t="str">
        <f>IF(Table2[[#This Row],[Counter Number]]="","",Table2[[#This Row],[Old Bus CO Emissions (tons/yr)]]-Table2[[#This Row],[New Bus CO Emissions (tons/yr)]])</f>
        <v/>
      </c>
      <c r="BV145" s="188" t="str">
        <f>IF(Table2[[#This Row],[Counter Number]]="","",Table2[[#This Row],[Reduction Bus CO Emissions (tons/yr)]]/Table2[[#This Row],[Old Bus CO Emissions (tons/yr)]])</f>
        <v/>
      </c>
      <c r="BW145" s="193" t="str">
        <f>IF(Table2[[#This Row],[Counter Number]]="","",Table2[[#This Row],[Reduction Bus CO Emissions (tons/yr)]]*Table2[[#This Row],[Remaining Life:]])</f>
        <v/>
      </c>
      <c r="BX145" s="194" t="str">
        <f>IF(Table2[[#This Row],[Counter Number]]="","",IF(Table2[[#This Row],[Lifetime CO Reduction (tons)]]=0,"NA",Table2[[#This Row],[Upgrade Cost Per Unit]]/Table2[[#This Row],[Lifetime CO Reduction (tons)]]))</f>
        <v/>
      </c>
      <c r="BY145" s="180" t="str">
        <f>IF(Table2[[#This Row],[Counter Number]]="","",Table2[[#This Row],[Old ULSD Used (gal):]]*VLOOKUP(Table2[[#This Row],[Engine Model Year:]],EF!$A$2:$G$27,7,FALSE))</f>
        <v/>
      </c>
      <c r="BZ14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5" s="195" t="str">
        <f>IF(Table2[[#This Row],[Counter Number]]="","",Table2[[#This Row],[Old Bus CO2 Emissions (tons/yr)]]-Table2[[#This Row],[New Bus CO2 Emissions (tons/yr)]])</f>
        <v/>
      </c>
      <c r="CB145" s="188" t="str">
        <f>IF(Table2[[#This Row],[Counter Number]]="","",Table2[[#This Row],[Reduction Bus CO2 Emissions (tons/yr)]]/Table2[[#This Row],[Old Bus CO2 Emissions (tons/yr)]])</f>
        <v/>
      </c>
      <c r="CC145" s="195" t="str">
        <f>IF(Table2[[#This Row],[Counter Number]]="","",Table2[[#This Row],[Reduction Bus CO2 Emissions (tons/yr)]]*Table2[[#This Row],[Remaining Life:]])</f>
        <v/>
      </c>
      <c r="CD145" s="194" t="str">
        <f>IF(Table2[[#This Row],[Counter Number]]="","",IF(Table2[[#This Row],[Lifetime CO2 Reduction (tons)]]=0,"NA",Table2[[#This Row],[Upgrade Cost Per Unit]]/Table2[[#This Row],[Lifetime CO2 Reduction (tons)]]))</f>
        <v/>
      </c>
      <c r="CE145" s="182" t="str">
        <f>IF(Table2[[#This Row],[Counter Number]]="","",IF(Table2[[#This Row],[New ULSD Used (gal):]]="",Table2[[#This Row],[Old ULSD Used (gal):]],Table2[[#This Row],[Old ULSD Used (gal):]]-Table2[[#This Row],[New ULSD Used (gal):]]))</f>
        <v/>
      </c>
      <c r="CF145" s="196" t="str">
        <f>IF(Table2[[#This Row],[Counter Number]]="","",Table2[[#This Row],[Diesel Fuel Reduction (gal/yr)]]/Table2[[#This Row],[Old ULSD Used (gal):]])</f>
        <v/>
      </c>
      <c r="CG145" s="197" t="str">
        <f>IF(Table2[[#This Row],[Counter Number]]="","",Table2[[#This Row],[Diesel Fuel Reduction (gal/yr)]]*Table2[[#This Row],[Remaining Life:]])</f>
        <v/>
      </c>
    </row>
    <row r="146" spans="1:85">
      <c r="A146" s="184" t="str">
        <f>IF(A145&lt;Application!$D$24,A145+1,"")</f>
        <v/>
      </c>
      <c r="B146" s="60" t="str">
        <f>IF(Table2[[#This Row],[Counter Number]]="","",Application!$D$16)</f>
        <v/>
      </c>
      <c r="C146" s="60" t="str">
        <f>IF(Table2[[#This Row],[Counter Number]]="","",Application!$D$14)</f>
        <v/>
      </c>
      <c r="D146" s="60" t="str">
        <f>IF(Table2[[#This Row],[Counter Number]]="","",Table1[[#This Row],[Old Bus Number]])</f>
        <v/>
      </c>
      <c r="E146" s="60" t="str">
        <f>IF(Table2[[#This Row],[Counter Number]]="","",Application!$D$15)</f>
        <v/>
      </c>
      <c r="F146" s="60" t="str">
        <f>IF(Table2[[#This Row],[Counter Number]]="","","On Highway")</f>
        <v/>
      </c>
      <c r="G146" s="60" t="str">
        <f>IF(Table2[[#This Row],[Counter Number]]="","",I146)</f>
        <v/>
      </c>
      <c r="H146" s="60" t="str">
        <f>IF(Table2[[#This Row],[Counter Number]]="","","Georgia")</f>
        <v/>
      </c>
      <c r="I146" s="60" t="str">
        <f>IF(Table2[[#This Row],[Counter Number]]="","",Application!$D$16)</f>
        <v/>
      </c>
      <c r="J146" s="60" t="str">
        <f>IF(Table2[[#This Row],[Counter Number]]="","",Application!$D$21)</f>
        <v/>
      </c>
      <c r="K146" s="60" t="str">
        <f>IF(Table2[[#This Row],[Counter Number]]="","",Application!$J$21)</f>
        <v/>
      </c>
      <c r="L146" s="60" t="str">
        <f>IF(Table2[[#This Row],[Counter Number]]="","","School Bus")</f>
        <v/>
      </c>
      <c r="M146" s="60" t="str">
        <f>IF(Table2[[#This Row],[Counter Number]]="","","School Bus")</f>
        <v/>
      </c>
      <c r="N146" s="60" t="str">
        <f>IF(Table2[[#This Row],[Counter Number]]="","",1)</f>
        <v/>
      </c>
      <c r="O146" s="60" t="str">
        <f>IF(Table2[[#This Row],[Counter Number]]="","",Table1[[#This Row],[Vehicle Identification Number(s):]])</f>
        <v/>
      </c>
      <c r="P146" s="60" t="str">
        <f>IF(Table2[[#This Row],[Counter Number]]="","",Table1[[#This Row],[Old Bus Manufacturer:]])</f>
        <v/>
      </c>
      <c r="Q146" s="60" t="str">
        <f>IF(Table2[[#This Row],[Counter Number]]="","",Table1[[#This Row],[Vehicle Model:]])</f>
        <v/>
      </c>
      <c r="R146" s="165" t="str">
        <f>IF(Table2[[#This Row],[Counter Number]]="","",Table1[[#This Row],[Vehicle Model Year:]])</f>
        <v/>
      </c>
      <c r="S146" s="60" t="str">
        <f>IF(Table2[[#This Row],[Counter Number]]="","",Table1[[#This Row],[Engine Serial Number(s):]])</f>
        <v/>
      </c>
      <c r="T146" s="60" t="str">
        <f>IF(Table2[[#This Row],[Counter Number]]="","",Table1[[#This Row],[Engine Make:]])</f>
        <v/>
      </c>
      <c r="U146" s="60" t="str">
        <f>IF(Table2[[#This Row],[Counter Number]]="","",Table1[[#This Row],[Engine Model:]])</f>
        <v/>
      </c>
      <c r="V146" s="165" t="str">
        <f>IF(Table2[[#This Row],[Counter Number]]="","",Table1[[#This Row],[Engine Model Year:]])</f>
        <v/>
      </c>
      <c r="W146" s="60" t="str">
        <f>IF(Table2[[#This Row],[Counter Number]]="","","NA")</f>
        <v/>
      </c>
      <c r="X146" s="165" t="str">
        <f>IF(Table2[[#This Row],[Counter Number]]="","",Table1[[#This Row],[Engine Horsepower (HP):]])</f>
        <v/>
      </c>
      <c r="Y146" s="165" t="str">
        <f>IF(Table2[[#This Row],[Counter Number]]="","",Table1[[#This Row],[Engine Cylinder Displacement (L):]]&amp;" L")</f>
        <v/>
      </c>
      <c r="Z146" s="165" t="str">
        <f>IF(Table2[[#This Row],[Counter Number]]="","",Table1[[#This Row],[Engine Number of Cylinders:]])</f>
        <v/>
      </c>
      <c r="AA146" s="166" t="str">
        <f>IF(Table2[[#This Row],[Counter Number]]="","",Table1[[#This Row],[Engine Family Name:]])</f>
        <v/>
      </c>
      <c r="AB146" s="60" t="str">
        <f>IF(Table2[[#This Row],[Counter Number]]="","","ULSD")</f>
        <v/>
      </c>
      <c r="AC146" s="167" t="str">
        <f>IF(Table2[[#This Row],[Counter Number]]="","",Table2[[#This Row],[Annual Miles Traveled:]]/Table1[[#This Row],[Old Fuel (mpg)]])</f>
        <v/>
      </c>
      <c r="AD146" s="60" t="str">
        <f>IF(Table2[[#This Row],[Counter Number]]="","","NA")</f>
        <v/>
      </c>
      <c r="AE146" s="168" t="str">
        <f>IF(Table2[[#This Row],[Counter Number]]="","",Table1[[#This Row],[Annual Miles Traveled]])</f>
        <v/>
      </c>
      <c r="AF146" s="169" t="str">
        <f>IF(Table2[[#This Row],[Counter Number]]="","",Table1[[#This Row],[Annual Idling Hours:]])</f>
        <v/>
      </c>
      <c r="AG146" s="60" t="str">
        <f>IF(Table2[[#This Row],[Counter Number]]="","","NA")</f>
        <v/>
      </c>
      <c r="AH146" s="165" t="str">
        <f>IF(Table2[[#This Row],[Counter Number]]="","",IF(Application!$J$25="Set Policy",Table1[[#This Row],[Remaining Life (years)         Set Policy]],Table1[[#This Row],[Remaining Life (years)               Case-by-Case]]))</f>
        <v/>
      </c>
      <c r="AI146" s="165" t="str">
        <f>IF(Table2[[#This Row],[Counter Number]]="","",IF(Application!$J$25="Case-by-Case","NA",Table2[[#This Row],[Fiscal Year of EPA Funds Used:]]+Table2[[#This Row],[Remaining Life:]]))</f>
        <v/>
      </c>
      <c r="AJ146" s="165"/>
      <c r="AK146" s="170" t="str">
        <f>IF(Table2[[#This Row],[Counter Number]]="","",Application!$D$14+1)</f>
        <v/>
      </c>
      <c r="AL146" s="60" t="str">
        <f>IF(Table2[[#This Row],[Counter Number]]="","","Vehicle Replacement")</f>
        <v/>
      </c>
      <c r="AM14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6" s="171" t="str">
        <f>IF(Table2[[#This Row],[Counter Number]]="","",Table1[[#This Row],[Cost of New Bus:]])</f>
        <v/>
      </c>
      <c r="AO146" s="60" t="str">
        <f>IF(Table2[[#This Row],[Counter Number]]="","","NA")</f>
        <v/>
      </c>
      <c r="AP146" s="165" t="str">
        <f>IF(Table2[[#This Row],[Counter Number]]="","",Table1[[#This Row],[New Engine Model Year:]])</f>
        <v/>
      </c>
      <c r="AQ146" s="60" t="str">
        <f>IF(Table2[[#This Row],[Counter Number]]="","","NA")</f>
        <v/>
      </c>
      <c r="AR146" s="165" t="str">
        <f>IF(Table2[[#This Row],[Counter Number]]="","",Table1[[#This Row],[New Engine Horsepower (HP):]])</f>
        <v/>
      </c>
      <c r="AS146" s="60" t="str">
        <f>IF(Table2[[#This Row],[Counter Number]]="","","NA")</f>
        <v/>
      </c>
      <c r="AT146" s="165" t="str">
        <f>IF(Table2[[#This Row],[Counter Number]]="","",Table1[[#This Row],[New Engine Cylinder Displacement (L):]]&amp;" L")</f>
        <v/>
      </c>
      <c r="AU146" s="114" t="str">
        <f>IF(Table2[[#This Row],[Counter Number]]="","",Table1[[#This Row],[New Engine Number of Cylinders:]])</f>
        <v/>
      </c>
      <c r="AV146" s="60" t="str">
        <f>IF(Table2[[#This Row],[Counter Number]]="","",Table1[[#This Row],[New Engine Family Name:]])</f>
        <v/>
      </c>
      <c r="AW14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6" s="60" t="str">
        <f>IF(Table2[[#This Row],[Counter Number]]="","","NA")</f>
        <v/>
      </c>
      <c r="AY146" s="172" t="str">
        <f>IF(Table2[[#This Row],[Counter Number]]="","",IF(Table2[[#This Row],[New Engine Fuel Type:]]="ULSD",Table1[[#This Row],[Annual Miles Traveled]]/Table1[[#This Row],[New Fuel (mpg) if Diesel]],""))</f>
        <v/>
      </c>
      <c r="AZ146" s="60"/>
      <c r="BA146" s="173" t="str">
        <f>IF(Table2[[#This Row],[Counter Number]]="","",Table2[[#This Row],[Annual Miles Traveled:]]*VLOOKUP(Table2[[#This Row],[Engine Model Year:]],EFTable[],3,FALSE))</f>
        <v/>
      </c>
      <c r="BB146" s="173" t="str">
        <f>IF(Table2[[#This Row],[Counter Number]]="","",Table2[[#This Row],[Annual Miles Traveled:]]*IF(Table2[[#This Row],[New Engine Fuel Type:]]="ULSD",VLOOKUP(Table2[[#This Row],[New Engine Model Year:]],EFTable[],3,FALSE),VLOOKUP(Table2[[#This Row],[New Engine Fuel Type:]],EFTable[],3,FALSE)))</f>
        <v/>
      </c>
      <c r="BC146" s="187" t="str">
        <f>IF(Table2[[#This Row],[Counter Number]]="","",Table2[[#This Row],[Old Bus NOx Emissions (tons/yr)]]-Table2[[#This Row],[New Bus NOx Emissions (tons/yr)]])</f>
        <v/>
      </c>
      <c r="BD146" s="188" t="str">
        <f>IF(Table2[[#This Row],[Counter Number]]="","",Table2[[#This Row],[Reduction Bus NOx Emissions (tons/yr)]]/Table2[[#This Row],[Old Bus NOx Emissions (tons/yr)]])</f>
        <v/>
      </c>
      <c r="BE146" s="175" t="str">
        <f>IF(Table2[[#This Row],[Counter Number]]="","",Table2[[#This Row],[Reduction Bus NOx Emissions (tons/yr)]]*Table2[[#This Row],[Remaining Life:]])</f>
        <v/>
      </c>
      <c r="BF146" s="189" t="str">
        <f>IF(Table2[[#This Row],[Counter Number]]="","",IF(Table2[[#This Row],[Lifetime NOx Reduction (tons)]]=0,"NA",Table2[[#This Row],[Upgrade Cost Per Unit]]/Table2[[#This Row],[Lifetime NOx Reduction (tons)]]))</f>
        <v/>
      </c>
      <c r="BG146" s="190" t="str">
        <f>IF(Table2[[#This Row],[Counter Number]]="","",Table2[[#This Row],[Annual Miles Traveled:]]*VLOOKUP(Table2[[#This Row],[Engine Model Year:]],EF!$A$2:$G$27,4,FALSE))</f>
        <v/>
      </c>
      <c r="BH146" s="173" t="str">
        <f>IF(Table2[[#This Row],[Counter Number]]="","",Table2[[#This Row],[Annual Miles Traveled:]]*IF(Table2[[#This Row],[New Engine Fuel Type:]]="ULSD",VLOOKUP(Table2[[#This Row],[New Engine Model Year:]],EFTable[],4,FALSE),VLOOKUP(Table2[[#This Row],[New Engine Fuel Type:]],EFTable[],4,FALSE)))</f>
        <v/>
      </c>
      <c r="BI146" s="191" t="str">
        <f>IF(Table2[[#This Row],[Counter Number]]="","",Table2[[#This Row],[Old Bus PM2.5 Emissions (tons/yr)]]-Table2[[#This Row],[New Bus PM2.5 Emissions (tons/yr)]])</f>
        <v/>
      </c>
      <c r="BJ146" s="192" t="str">
        <f>IF(Table2[[#This Row],[Counter Number]]="","",Table2[[#This Row],[Reduction Bus PM2.5 Emissions (tons/yr)]]/Table2[[#This Row],[Old Bus PM2.5 Emissions (tons/yr)]])</f>
        <v/>
      </c>
      <c r="BK146" s="193" t="str">
        <f>IF(Table2[[#This Row],[Counter Number]]="","",Table2[[#This Row],[Reduction Bus PM2.5 Emissions (tons/yr)]]*Table2[[#This Row],[Remaining Life:]])</f>
        <v/>
      </c>
      <c r="BL146" s="194" t="str">
        <f>IF(Table2[[#This Row],[Counter Number]]="","",IF(Table2[[#This Row],[Lifetime PM2.5 Reduction (tons)]]=0,"NA",Table2[[#This Row],[Upgrade Cost Per Unit]]/Table2[[#This Row],[Lifetime PM2.5 Reduction (tons)]]))</f>
        <v/>
      </c>
      <c r="BM146" s="179" t="str">
        <f>IF(Table2[[#This Row],[Counter Number]]="","",Table2[[#This Row],[Annual Miles Traveled:]]*VLOOKUP(Table2[[#This Row],[Engine Model Year:]],EF!$A$2:$G$40,5,FALSE))</f>
        <v/>
      </c>
      <c r="BN146" s="173" t="str">
        <f>IF(Table2[[#This Row],[Counter Number]]="","",Table2[[#This Row],[Annual Miles Traveled:]]*IF(Table2[[#This Row],[New Engine Fuel Type:]]="ULSD",VLOOKUP(Table2[[#This Row],[New Engine Model Year:]],EFTable[],5,FALSE),VLOOKUP(Table2[[#This Row],[New Engine Fuel Type:]],EFTable[],5,FALSE)))</f>
        <v/>
      </c>
      <c r="BO146" s="190" t="str">
        <f>IF(Table2[[#This Row],[Counter Number]]="","",Table2[[#This Row],[Old Bus HC Emissions (tons/yr)]]-Table2[[#This Row],[New Bus HC Emissions (tons/yr)]])</f>
        <v/>
      </c>
      <c r="BP146" s="188" t="str">
        <f>IF(Table2[[#This Row],[Counter Number]]="","",Table2[[#This Row],[Reduction Bus HC Emissions (tons/yr)]]/Table2[[#This Row],[Old Bus HC Emissions (tons/yr)]])</f>
        <v/>
      </c>
      <c r="BQ146" s="193" t="str">
        <f>IF(Table2[[#This Row],[Counter Number]]="","",Table2[[#This Row],[Reduction Bus HC Emissions (tons/yr)]]*Table2[[#This Row],[Remaining Life:]])</f>
        <v/>
      </c>
      <c r="BR146" s="194" t="str">
        <f>IF(Table2[[#This Row],[Counter Number]]="","",IF(Table2[[#This Row],[Lifetime HC Reduction (tons)]]=0,"NA",Table2[[#This Row],[Upgrade Cost Per Unit]]/Table2[[#This Row],[Lifetime HC Reduction (tons)]]))</f>
        <v/>
      </c>
      <c r="BS146" s="191" t="str">
        <f>IF(Table2[[#This Row],[Counter Number]]="","",Table2[[#This Row],[Annual Miles Traveled:]]*VLOOKUP(Table2[[#This Row],[Engine Model Year:]],EF!$A$2:$G$27,6,FALSE))</f>
        <v/>
      </c>
      <c r="BT146" s="173" t="str">
        <f>IF(Table2[[#This Row],[Counter Number]]="","",Table2[[#This Row],[Annual Miles Traveled:]]*IF(Table2[[#This Row],[New Engine Fuel Type:]]="ULSD",VLOOKUP(Table2[[#This Row],[New Engine Model Year:]],EFTable[],6,FALSE),VLOOKUP(Table2[[#This Row],[New Engine Fuel Type:]],EFTable[],6,FALSE)))</f>
        <v/>
      </c>
      <c r="BU146" s="190" t="str">
        <f>IF(Table2[[#This Row],[Counter Number]]="","",Table2[[#This Row],[Old Bus CO Emissions (tons/yr)]]-Table2[[#This Row],[New Bus CO Emissions (tons/yr)]])</f>
        <v/>
      </c>
      <c r="BV146" s="188" t="str">
        <f>IF(Table2[[#This Row],[Counter Number]]="","",Table2[[#This Row],[Reduction Bus CO Emissions (tons/yr)]]/Table2[[#This Row],[Old Bus CO Emissions (tons/yr)]])</f>
        <v/>
      </c>
      <c r="BW146" s="193" t="str">
        <f>IF(Table2[[#This Row],[Counter Number]]="","",Table2[[#This Row],[Reduction Bus CO Emissions (tons/yr)]]*Table2[[#This Row],[Remaining Life:]])</f>
        <v/>
      </c>
      <c r="BX146" s="194" t="str">
        <f>IF(Table2[[#This Row],[Counter Number]]="","",IF(Table2[[#This Row],[Lifetime CO Reduction (tons)]]=0,"NA",Table2[[#This Row],[Upgrade Cost Per Unit]]/Table2[[#This Row],[Lifetime CO Reduction (tons)]]))</f>
        <v/>
      </c>
      <c r="BY146" s="180" t="str">
        <f>IF(Table2[[#This Row],[Counter Number]]="","",Table2[[#This Row],[Old ULSD Used (gal):]]*VLOOKUP(Table2[[#This Row],[Engine Model Year:]],EF!$A$2:$G$27,7,FALSE))</f>
        <v/>
      </c>
      <c r="BZ14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6" s="195" t="str">
        <f>IF(Table2[[#This Row],[Counter Number]]="","",Table2[[#This Row],[Old Bus CO2 Emissions (tons/yr)]]-Table2[[#This Row],[New Bus CO2 Emissions (tons/yr)]])</f>
        <v/>
      </c>
      <c r="CB146" s="188" t="str">
        <f>IF(Table2[[#This Row],[Counter Number]]="","",Table2[[#This Row],[Reduction Bus CO2 Emissions (tons/yr)]]/Table2[[#This Row],[Old Bus CO2 Emissions (tons/yr)]])</f>
        <v/>
      </c>
      <c r="CC146" s="195" t="str">
        <f>IF(Table2[[#This Row],[Counter Number]]="","",Table2[[#This Row],[Reduction Bus CO2 Emissions (tons/yr)]]*Table2[[#This Row],[Remaining Life:]])</f>
        <v/>
      </c>
      <c r="CD146" s="194" t="str">
        <f>IF(Table2[[#This Row],[Counter Number]]="","",IF(Table2[[#This Row],[Lifetime CO2 Reduction (tons)]]=0,"NA",Table2[[#This Row],[Upgrade Cost Per Unit]]/Table2[[#This Row],[Lifetime CO2 Reduction (tons)]]))</f>
        <v/>
      </c>
      <c r="CE146" s="182" t="str">
        <f>IF(Table2[[#This Row],[Counter Number]]="","",IF(Table2[[#This Row],[New ULSD Used (gal):]]="",Table2[[#This Row],[Old ULSD Used (gal):]],Table2[[#This Row],[Old ULSD Used (gal):]]-Table2[[#This Row],[New ULSD Used (gal):]]))</f>
        <v/>
      </c>
      <c r="CF146" s="196" t="str">
        <f>IF(Table2[[#This Row],[Counter Number]]="","",Table2[[#This Row],[Diesel Fuel Reduction (gal/yr)]]/Table2[[#This Row],[Old ULSD Used (gal):]])</f>
        <v/>
      </c>
      <c r="CG146" s="197" t="str">
        <f>IF(Table2[[#This Row],[Counter Number]]="","",Table2[[#This Row],[Diesel Fuel Reduction (gal/yr)]]*Table2[[#This Row],[Remaining Life:]])</f>
        <v/>
      </c>
    </row>
    <row r="147" spans="1:85">
      <c r="A147" s="184" t="str">
        <f>IF(A146&lt;Application!$D$24,A146+1,"")</f>
        <v/>
      </c>
      <c r="B147" s="60" t="str">
        <f>IF(Table2[[#This Row],[Counter Number]]="","",Application!$D$16)</f>
        <v/>
      </c>
      <c r="C147" s="60" t="str">
        <f>IF(Table2[[#This Row],[Counter Number]]="","",Application!$D$14)</f>
        <v/>
      </c>
      <c r="D147" s="60" t="str">
        <f>IF(Table2[[#This Row],[Counter Number]]="","",Table1[[#This Row],[Old Bus Number]])</f>
        <v/>
      </c>
      <c r="E147" s="60" t="str">
        <f>IF(Table2[[#This Row],[Counter Number]]="","",Application!$D$15)</f>
        <v/>
      </c>
      <c r="F147" s="60" t="str">
        <f>IF(Table2[[#This Row],[Counter Number]]="","","On Highway")</f>
        <v/>
      </c>
      <c r="G147" s="60" t="str">
        <f>IF(Table2[[#This Row],[Counter Number]]="","",I147)</f>
        <v/>
      </c>
      <c r="H147" s="60" t="str">
        <f>IF(Table2[[#This Row],[Counter Number]]="","","Georgia")</f>
        <v/>
      </c>
      <c r="I147" s="60" t="str">
        <f>IF(Table2[[#This Row],[Counter Number]]="","",Application!$D$16)</f>
        <v/>
      </c>
      <c r="J147" s="60" t="str">
        <f>IF(Table2[[#This Row],[Counter Number]]="","",Application!$D$21)</f>
        <v/>
      </c>
      <c r="K147" s="60" t="str">
        <f>IF(Table2[[#This Row],[Counter Number]]="","",Application!$J$21)</f>
        <v/>
      </c>
      <c r="L147" s="60" t="str">
        <f>IF(Table2[[#This Row],[Counter Number]]="","","School Bus")</f>
        <v/>
      </c>
      <c r="M147" s="60" t="str">
        <f>IF(Table2[[#This Row],[Counter Number]]="","","School Bus")</f>
        <v/>
      </c>
      <c r="N147" s="60" t="str">
        <f>IF(Table2[[#This Row],[Counter Number]]="","",1)</f>
        <v/>
      </c>
      <c r="O147" s="60" t="str">
        <f>IF(Table2[[#This Row],[Counter Number]]="","",Table1[[#This Row],[Vehicle Identification Number(s):]])</f>
        <v/>
      </c>
      <c r="P147" s="60" t="str">
        <f>IF(Table2[[#This Row],[Counter Number]]="","",Table1[[#This Row],[Old Bus Manufacturer:]])</f>
        <v/>
      </c>
      <c r="Q147" s="60" t="str">
        <f>IF(Table2[[#This Row],[Counter Number]]="","",Table1[[#This Row],[Vehicle Model:]])</f>
        <v/>
      </c>
      <c r="R147" s="165" t="str">
        <f>IF(Table2[[#This Row],[Counter Number]]="","",Table1[[#This Row],[Vehicle Model Year:]])</f>
        <v/>
      </c>
      <c r="S147" s="60" t="str">
        <f>IF(Table2[[#This Row],[Counter Number]]="","",Table1[[#This Row],[Engine Serial Number(s):]])</f>
        <v/>
      </c>
      <c r="T147" s="60" t="str">
        <f>IF(Table2[[#This Row],[Counter Number]]="","",Table1[[#This Row],[Engine Make:]])</f>
        <v/>
      </c>
      <c r="U147" s="60" t="str">
        <f>IF(Table2[[#This Row],[Counter Number]]="","",Table1[[#This Row],[Engine Model:]])</f>
        <v/>
      </c>
      <c r="V147" s="165" t="str">
        <f>IF(Table2[[#This Row],[Counter Number]]="","",Table1[[#This Row],[Engine Model Year:]])</f>
        <v/>
      </c>
      <c r="W147" s="60" t="str">
        <f>IF(Table2[[#This Row],[Counter Number]]="","","NA")</f>
        <v/>
      </c>
      <c r="X147" s="165" t="str">
        <f>IF(Table2[[#This Row],[Counter Number]]="","",Table1[[#This Row],[Engine Horsepower (HP):]])</f>
        <v/>
      </c>
      <c r="Y147" s="165" t="str">
        <f>IF(Table2[[#This Row],[Counter Number]]="","",Table1[[#This Row],[Engine Cylinder Displacement (L):]]&amp;" L")</f>
        <v/>
      </c>
      <c r="Z147" s="165" t="str">
        <f>IF(Table2[[#This Row],[Counter Number]]="","",Table1[[#This Row],[Engine Number of Cylinders:]])</f>
        <v/>
      </c>
      <c r="AA147" s="166" t="str">
        <f>IF(Table2[[#This Row],[Counter Number]]="","",Table1[[#This Row],[Engine Family Name:]])</f>
        <v/>
      </c>
      <c r="AB147" s="60" t="str">
        <f>IF(Table2[[#This Row],[Counter Number]]="","","ULSD")</f>
        <v/>
      </c>
      <c r="AC147" s="167" t="str">
        <f>IF(Table2[[#This Row],[Counter Number]]="","",Table2[[#This Row],[Annual Miles Traveled:]]/Table1[[#This Row],[Old Fuel (mpg)]])</f>
        <v/>
      </c>
      <c r="AD147" s="60" t="str">
        <f>IF(Table2[[#This Row],[Counter Number]]="","","NA")</f>
        <v/>
      </c>
      <c r="AE147" s="168" t="str">
        <f>IF(Table2[[#This Row],[Counter Number]]="","",Table1[[#This Row],[Annual Miles Traveled]])</f>
        <v/>
      </c>
      <c r="AF147" s="169" t="str">
        <f>IF(Table2[[#This Row],[Counter Number]]="","",Table1[[#This Row],[Annual Idling Hours:]])</f>
        <v/>
      </c>
      <c r="AG147" s="60" t="str">
        <f>IF(Table2[[#This Row],[Counter Number]]="","","NA")</f>
        <v/>
      </c>
      <c r="AH147" s="165" t="str">
        <f>IF(Table2[[#This Row],[Counter Number]]="","",IF(Application!$J$25="Set Policy",Table1[[#This Row],[Remaining Life (years)         Set Policy]],Table1[[#This Row],[Remaining Life (years)               Case-by-Case]]))</f>
        <v/>
      </c>
      <c r="AI147" s="165" t="str">
        <f>IF(Table2[[#This Row],[Counter Number]]="","",IF(Application!$J$25="Case-by-Case","NA",Table2[[#This Row],[Fiscal Year of EPA Funds Used:]]+Table2[[#This Row],[Remaining Life:]]))</f>
        <v/>
      </c>
      <c r="AJ147" s="165"/>
      <c r="AK147" s="170" t="str">
        <f>IF(Table2[[#This Row],[Counter Number]]="","",Application!$D$14+1)</f>
        <v/>
      </c>
      <c r="AL147" s="60" t="str">
        <f>IF(Table2[[#This Row],[Counter Number]]="","","Vehicle Replacement")</f>
        <v/>
      </c>
      <c r="AM14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7" s="171" t="str">
        <f>IF(Table2[[#This Row],[Counter Number]]="","",Table1[[#This Row],[Cost of New Bus:]])</f>
        <v/>
      </c>
      <c r="AO147" s="60" t="str">
        <f>IF(Table2[[#This Row],[Counter Number]]="","","NA")</f>
        <v/>
      </c>
      <c r="AP147" s="165" t="str">
        <f>IF(Table2[[#This Row],[Counter Number]]="","",Table1[[#This Row],[New Engine Model Year:]])</f>
        <v/>
      </c>
      <c r="AQ147" s="60" t="str">
        <f>IF(Table2[[#This Row],[Counter Number]]="","","NA")</f>
        <v/>
      </c>
      <c r="AR147" s="165" t="str">
        <f>IF(Table2[[#This Row],[Counter Number]]="","",Table1[[#This Row],[New Engine Horsepower (HP):]])</f>
        <v/>
      </c>
      <c r="AS147" s="60" t="str">
        <f>IF(Table2[[#This Row],[Counter Number]]="","","NA")</f>
        <v/>
      </c>
      <c r="AT147" s="165" t="str">
        <f>IF(Table2[[#This Row],[Counter Number]]="","",Table1[[#This Row],[New Engine Cylinder Displacement (L):]]&amp;" L")</f>
        <v/>
      </c>
      <c r="AU147" s="114" t="str">
        <f>IF(Table2[[#This Row],[Counter Number]]="","",Table1[[#This Row],[New Engine Number of Cylinders:]])</f>
        <v/>
      </c>
      <c r="AV147" s="60" t="str">
        <f>IF(Table2[[#This Row],[Counter Number]]="","",Table1[[#This Row],[New Engine Family Name:]])</f>
        <v/>
      </c>
      <c r="AW14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7" s="60" t="str">
        <f>IF(Table2[[#This Row],[Counter Number]]="","","NA")</f>
        <v/>
      </c>
      <c r="AY147" s="172" t="str">
        <f>IF(Table2[[#This Row],[Counter Number]]="","",IF(Table2[[#This Row],[New Engine Fuel Type:]]="ULSD",Table1[[#This Row],[Annual Miles Traveled]]/Table1[[#This Row],[New Fuel (mpg) if Diesel]],""))</f>
        <v/>
      </c>
      <c r="AZ147" s="60"/>
      <c r="BA147" s="173" t="str">
        <f>IF(Table2[[#This Row],[Counter Number]]="","",Table2[[#This Row],[Annual Miles Traveled:]]*VLOOKUP(Table2[[#This Row],[Engine Model Year:]],EFTable[],3,FALSE))</f>
        <v/>
      </c>
      <c r="BB147" s="173" t="str">
        <f>IF(Table2[[#This Row],[Counter Number]]="","",Table2[[#This Row],[Annual Miles Traveled:]]*IF(Table2[[#This Row],[New Engine Fuel Type:]]="ULSD",VLOOKUP(Table2[[#This Row],[New Engine Model Year:]],EFTable[],3,FALSE),VLOOKUP(Table2[[#This Row],[New Engine Fuel Type:]],EFTable[],3,FALSE)))</f>
        <v/>
      </c>
      <c r="BC147" s="187" t="str">
        <f>IF(Table2[[#This Row],[Counter Number]]="","",Table2[[#This Row],[Old Bus NOx Emissions (tons/yr)]]-Table2[[#This Row],[New Bus NOx Emissions (tons/yr)]])</f>
        <v/>
      </c>
      <c r="BD147" s="188" t="str">
        <f>IF(Table2[[#This Row],[Counter Number]]="","",Table2[[#This Row],[Reduction Bus NOx Emissions (tons/yr)]]/Table2[[#This Row],[Old Bus NOx Emissions (tons/yr)]])</f>
        <v/>
      </c>
      <c r="BE147" s="175" t="str">
        <f>IF(Table2[[#This Row],[Counter Number]]="","",Table2[[#This Row],[Reduction Bus NOx Emissions (tons/yr)]]*Table2[[#This Row],[Remaining Life:]])</f>
        <v/>
      </c>
      <c r="BF147" s="189" t="str">
        <f>IF(Table2[[#This Row],[Counter Number]]="","",IF(Table2[[#This Row],[Lifetime NOx Reduction (tons)]]=0,"NA",Table2[[#This Row],[Upgrade Cost Per Unit]]/Table2[[#This Row],[Lifetime NOx Reduction (tons)]]))</f>
        <v/>
      </c>
      <c r="BG147" s="190" t="str">
        <f>IF(Table2[[#This Row],[Counter Number]]="","",Table2[[#This Row],[Annual Miles Traveled:]]*VLOOKUP(Table2[[#This Row],[Engine Model Year:]],EF!$A$2:$G$27,4,FALSE))</f>
        <v/>
      </c>
      <c r="BH147" s="173" t="str">
        <f>IF(Table2[[#This Row],[Counter Number]]="","",Table2[[#This Row],[Annual Miles Traveled:]]*IF(Table2[[#This Row],[New Engine Fuel Type:]]="ULSD",VLOOKUP(Table2[[#This Row],[New Engine Model Year:]],EFTable[],4,FALSE),VLOOKUP(Table2[[#This Row],[New Engine Fuel Type:]],EFTable[],4,FALSE)))</f>
        <v/>
      </c>
      <c r="BI147" s="191" t="str">
        <f>IF(Table2[[#This Row],[Counter Number]]="","",Table2[[#This Row],[Old Bus PM2.5 Emissions (tons/yr)]]-Table2[[#This Row],[New Bus PM2.5 Emissions (tons/yr)]])</f>
        <v/>
      </c>
      <c r="BJ147" s="192" t="str">
        <f>IF(Table2[[#This Row],[Counter Number]]="","",Table2[[#This Row],[Reduction Bus PM2.5 Emissions (tons/yr)]]/Table2[[#This Row],[Old Bus PM2.5 Emissions (tons/yr)]])</f>
        <v/>
      </c>
      <c r="BK147" s="193" t="str">
        <f>IF(Table2[[#This Row],[Counter Number]]="","",Table2[[#This Row],[Reduction Bus PM2.5 Emissions (tons/yr)]]*Table2[[#This Row],[Remaining Life:]])</f>
        <v/>
      </c>
      <c r="BL147" s="194" t="str">
        <f>IF(Table2[[#This Row],[Counter Number]]="","",IF(Table2[[#This Row],[Lifetime PM2.5 Reduction (tons)]]=0,"NA",Table2[[#This Row],[Upgrade Cost Per Unit]]/Table2[[#This Row],[Lifetime PM2.5 Reduction (tons)]]))</f>
        <v/>
      </c>
      <c r="BM147" s="179" t="str">
        <f>IF(Table2[[#This Row],[Counter Number]]="","",Table2[[#This Row],[Annual Miles Traveled:]]*VLOOKUP(Table2[[#This Row],[Engine Model Year:]],EF!$A$2:$G$40,5,FALSE))</f>
        <v/>
      </c>
      <c r="BN147" s="173" t="str">
        <f>IF(Table2[[#This Row],[Counter Number]]="","",Table2[[#This Row],[Annual Miles Traveled:]]*IF(Table2[[#This Row],[New Engine Fuel Type:]]="ULSD",VLOOKUP(Table2[[#This Row],[New Engine Model Year:]],EFTable[],5,FALSE),VLOOKUP(Table2[[#This Row],[New Engine Fuel Type:]],EFTable[],5,FALSE)))</f>
        <v/>
      </c>
      <c r="BO147" s="190" t="str">
        <f>IF(Table2[[#This Row],[Counter Number]]="","",Table2[[#This Row],[Old Bus HC Emissions (tons/yr)]]-Table2[[#This Row],[New Bus HC Emissions (tons/yr)]])</f>
        <v/>
      </c>
      <c r="BP147" s="188" t="str">
        <f>IF(Table2[[#This Row],[Counter Number]]="","",Table2[[#This Row],[Reduction Bus HC Emissions (tons/yr)]]/Table2[[#This Row],[Old Bus HC Emissions (tons/yr)]])</f>
        <v/>
      </c>
      <c r="BQ147" s="193" t="str">
        <f>IF(Table2[[#This Row],[Counter Number]]="","",Table2[[#This Row],[Reduction Bus HC Emissions (tons/yr)]]*Table2[[#This Row],[Remaining Life:]])</f>
        <v/>
      </c>
      <c r="BR147" s="194" t="str">
        <f>IF(Table2[[#This Row],[Counter Number]]="","",IF(Table2[[#This Row],[Lifetime HC Reduction (tons)]]=0,"NA",Table2[[#This Row],[Upgrade Cost Per Unit]]/Table2[[#This Row],[Lifetime HC Reduction (tons)]]))</f>
        <v/>
      </c>
      <c r="BS147" s="191" t="str">
        <f>IF(Table2[[#This Row],[Counter Number]]="","",Table2[[#This Row],[Annual Miles Traveled:]]*VLOOKUP(Table2[[#This Row],[Engine Model Year:]],EF!$A$2:$G$27,6,FALSE))</f>
        <v/>
      </c>
      <c r="BT147" s="173" t="str">
        <f>IF(Table2[[#This Row],[Counter Number]]="","",Table2[[#This Row],[Annual Miles Traveled:]]*IF(Table2[[#This Row],[New Engine Fuel Type:]]="ULSD",VLOOKUP(Table2[[#This Row],[New Engine Model Year:]],EFTable[],6,FALSE),VLOOKUP(Table2[[#This Row],[New Engine Fuel Type:]],EFTable[],6,FALSE)))</f>
        <v/>
      </c>
      <c r="BU147" s="190" t="str">
        <f>IF(Table2[[#This Row],[Counter Number]]="","",Table2[[#This Row],[Old Bus CO Emissions (tons/yr)]]-Table2[[#This Row],[New Bus CO Emissions (tons/yr)]])</f>
        <v/>
      </c>
      <c r="BV147" s="188" t="str">
        <f>IF(Table2[[#This Row],[Counter Number]]="","",Table2[[#This Row],[Reduction Bus CO Emissions (tons/yr)]]/Table2[[#This Row],[Old Bus CO Emissions (tons/yr)]])</f>
        <v/>
      </c>
      <c r="BW147" s="193" t="str">
        <f>IF(Table2[[#This Row],[Counter Number]]="","",Table2[[#This Row],[Reduction Bus CO Emissions (tons/yr)]]*Table2[[#This Row],[Remaining Life:]])</f>
        <v/>
      </c>
      <c r="BX147" s="194" t="str">
        <f>IF(Table2[[#This Row],[Counter Number]]="","",IF(Table2[[#This Row],[Lifetime CO Reduction (tons)]]=0,"NA",Table2[[#This Row],[Upgrade Cost Per Unit]]/Table2[[#This Row],[Lifetime CO Reduction (tons)]]))</f>
        <v/>
      </c>
      <c r="BY147" s="180" t="str">
        <f>IF(Table2[[#This Row],[Counter Number]]="","",Table2[[#This Row],[Old ULSD Used (gal):]]*VLOOKUP(Table2[[#This Row],[Engine Model Year:]],EF!$A$2:$G$27,7,FALSE))</f>
        <v/>
      </c>
      <c r="BZ14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7" s="195" t="str">
        <f>IF(Table2[[#This Row],[Counter Number]]="","",Table2[[#This Row],[Old Bus CO2 Emissions (tons/yr)]]-Table2[[#This Row],[New Bus CO2 Emissions (tons/yr)]])</f>
        <v/>
      </c>
      <c r="CB147" s="188" t="str">
        <f>IF(Table2[[#This Row],[Counter Number]]="","",Table2[[#This Row],[Reduction Bus CO2 Emissions (tons/yr)]]/Table2[[#This Row],[Old Bus CO2 Emissions (tons/yr)]])</f>
        <v/>
      </c>
      <c r="CC147" s="195" t="str">
        <f>IF(Table2[[#This Row],[Counter Number]]="","",Table2[[#This Row],[Reduction Bus CO2 Emissions (tons/yr)]]*Table2[[#This Row],[Remaining Life:]])</f>
        <v/>
      </c>
      <c r="CD147" s="194" t="str">
        <f>IF(Table2[[#This Row],[Counter Number]]="","",IF(Table2[[#This Row],[Lifetime CO2 Reduction (tons)]]=0,"NA",Table2[[#This Row],[Upgrade Cost Per Unit]]/Table2[[#This Row],[Lifetime CO2 Reduction (tons)]]))</f>
        <v/>
      </c>
      <c r="CE147" s="182" t="str">
        <f>IF(Table2[[#This Row],[Counter Number]]="","",IF(Table2[[#This Row],[New ULSD Used (gal):]]="",Table2[[#This Row],[Old ULSD Used (gal):]],Table2[[#This Row],[Old ULSD Used (gal):]]-Table2[[#This Row],[New ULSD Used (gal):]]))</f>
        <v/>
      </c>
      <c r="CF147" s="196" t="str">
        <f>IF(Table2[[#This Row],[Counter Number]]="","",Table2[[#This Row],[Diesel Fuel Reduction (gal/yr)]]/Table2[[#This Row],[Old ULSD Used (gal):]])</f>
        <v/>
      </c>
      <c r="CG147" s="197" t="str">
        <f>IF(Table2[[#This Row],[Counter Number]]="","",Table2[[#This Row],[Diesel Fuel Reduction (gal/yr)]]*Table2[[#This Row],[Remaining Life:]])</f>
        <v/>
      </c>
    </row>
    <row r="148" spans="1:85">
      <c r="A148" s="184" t="str">
        <f>IF(A147&lt;Application!$D$24,A147+1,"")</f>
        <v/>
      </c>
      <c r="B148" s="60" t="str">
        <f>IF(Table2[[#This Row],[Counter Number]]="","",Application!$D$16)</f>
        <v/>
      </c>
      <c r="C148" s="60" t="str">
        <f>IF(Table2[[#This Row],[Counter Number]]="","",Application!$D$14)</f>
        <v/>
      </c>
      <c r="D148" s="60" t="str">
        <f>IF(Table2[[#This Row],[Counter Number]]="","",Table1[[#This Row],[Old Bus Number]])</f>
        <v/>
      </c>
      <c r="E148" s="60" t="str">
        <f>IF(Table2[[#This Row],[Counter Number]]="","",Application!$D$15)</f>
        <v/>
      </c>
      <c r="F148" s="60" t="str">
        <f>IF(Table2[[#This Row],[Counter Number]]="","","On Highway")</f>
        <v/>
      </c>
      <c r="G148" s="60" t="str">
        <f>IF(Table2[[#This Row],[Counter Number]]="","",I148)</f>
        <v/>
      </c>
      <c r="H148" s="60" t="str">
        <f>IF(Table2[[#This Row],[Counter Number]]="","","Georgia")</f>
        <v/>
      </c>
      <c r="I148" s="60" t="str">
        <f>IF(Table2[[#This Row],[Counter Number]]="","",Application!$D$16)</f>
        <v/>
      </c>
      <c r="J148" s="60" t="str">
        <f>IF(Table2[[#This Row],[Counter Number]]="","",Application!$D$21)</f>
        <v/>
      </c>
      <c r="K148" s="60" t="str">
        <f>IF(Table2[[#This Row],[Counter Number]]="","",Application!$J$21)</f>
        <v/>
      </c>
      <c r="L148" s="60" t="str">
        <f>IF(Table2[[#This Row],[Counter Number]]="","","School Bus")</f>
        <v/>
      </c>
      <c r="M148" s="60" t="str">
        <f>IF(Table2[[#This Row],[Counter Number]]="","","School Bus")</f>
        <v/>
      </c>
      <c r="N148" s="60" t="str">
        <f>IF(Table2[[#This Row],[Counter Number]]="","",1)</f>
        <v/>
      </c>
      <c r="O148" s="60" t="str">
        <f>IF(Table2[[#This Row],[Counter Number]]="","",Table1[[#This Row],[Vehicle Identification Number(s):]])</f>
        <v/>
      </c>
      <c r="P148" s="60" t="str">
        <f>IF(Table2[[#This Row],[Counter Number]]="","",Table1[[#This Row],[Old Bus Manufacturer:]])</f>
        <v/>
      </c>
      <c r="Q148" s="60" t="str">
        <f>IF(Table2[[#This Row],[Counter Number]]="","",Table1[[#This Row],[Vehicle Model:]])</f>
        <v/>
      </c>
      <c r="R148" s="165" t="str">
        <f>IF(Table2[[#This Row],[Counter Number]]="","",Table1[[#This Row],[Vehicle Model Year:]])</f>
        <v/>
      </c>
      <c r="S148" s="60" t="str">
        <f>IF(Table2[[#This Row],[Counter Number]]="","",Table1[[#This Row],[Engine Serial Number(s):]])</f>
        <v/>
      </c>
      <c r="T148" s="60" t="str">
        <f>IF(Table2[[#This Row],[Counter Number]]="","",Table1[[#This Row],[Engine Make:]])</f>
        <v/>
      </c>
      <c r="U148" s="60" t="str">
        <f>IF(Table2[[#This Row],[Counter Number]]="","",Table1[[#This Row],[Engine Model:]])</f>
        <v/>
      </c>
      <c r="V148" s="165" t="str">
        <f>IF(Table2[[#This Row],[Counter Number]]="","",Table1[[#This Row],[Engine Model Year:]])</f>
        <v/>
      </c>
      <c r="W148" s="60" t="str">
        <f>IF(Table2[[#This Row],[Counter Number]]="","","NA")</f>
        <v/>
      </c>
      <c r="X148" s="165" t="str">
        <f>IF(Table2[[#This Row],[Counter Number]]="","",Table1[[#This Row],[Engine Horsepower (HP):]])</f>
        <v/>
      </c>
      <c r="Y148" s="165" t="str">
        <f>IF(Table2[[#This Row],[Counter Number]]="","",Table1[[#This Row],[Engine Cylinder Displacement (L):]]&amp;" L")</f>
        <v/>
      </c>
      <c r="Z148" s="165" t="str">
        <f>IF(Table2[[#This Row],[Counter Number]]="","",Table1[[#This Row],[Engine Number of Cylinders:]])</f>
        <v/>
      </c>
      <c r="AA148" s="166" t="str">
        <f>IF(Table2[[#This Row],[Counter Number]]="","",Table1[[#This Row],[Engine Family Name:]])</f>
        <v/>
      </c>
      <c r="AB148" s="60" t="str">
        <f>IF(Table2[[#This Row],[Counter Number]]="","","ULSD")</f>
        <v/>
      </c>
      <c r="AC148" s="167" t="str">
        <f>IF(Table2[[#This Row],[Counter Number]]="","",Table2[[#This Row],[Annual Miles Traveled:]]/Table1[[#This Row],[Old Fuel (mpg)]])</f>
        <v/>
      </c>
      <c r="AD148" s="60" t="str">
        <f>IF(Table2[[#This Row],[Counter Number]]="","","NA")</f>
        <v/>
      </c>
      <c r="AE148" s="168" t="str">
        <f>IF(Table2[[#This Row],[Counter Number]]="","",Table1[[#This Row],[Annual Miles Traveled]])</f>
        <v/>
      </c>
      <c r="AF148" s="169" t="str">
        <f>IF(Table2[[#This Row],[Counter Number]]="","",Table1[[#This Row],[Annual Idling Hours:]])</f>
        <v/>
      </c>
      <c r="AG148" s="60" t="str">
        <f>IF(Table2[[#This Row],[Counter Number]]="","","NA")</f>
        <v/>
      </c>
      <c r="AH148" s="165" t="str">
        <f>IF(Table2[[#This Row],[Counter Number]]="","",IF(Application!$J$25="Set Policy",Table1[[#This Row],[Remaining Life (years)         Set Policy]],Table1[[#This Row],[Remaining Life (years)               Case-by-Case]]))</f>
        <v/>
      </c>
      <c r="AI148" s="165" t="str">
        <f>IF(Table2[[#This Row],[Counter Number]]="","",IF(Application!$J$25="Case-by-Case","NA",Table2[[#This Row],[Fiscal Year of EPA Funds Used:]]+Table2[[#This Row],[Remaining Life:]]))</f>
        <v/>
      </c>
      <c r="AJ148" s="165"/>
      <c r="AK148" s="170" t="str">
        <f>IF(Table2[[#This Row],[Counter Number]]="","",Application!$D$14+1)</f>
        <v/>
      </c>
      <c r="AL148" s="60" t="str">
        <f>IF(Table2[[#This Row],[Counter Number]]="","","Vehicle Replacement")</f>
        <v/>
      </c>
      <c r="AM14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8" s="171" t="str">
        <f>IF(Table2[[#This Row],[Counter Number]]="","",Table1[[#This Row],[Cost of New Bus:]])</f>
        <v/>
      </c>
      <c r="AO148" s="60" t="str">
        <f>IF(Table2[[#This Row],[Counter Number]]="","","NA")</f>
        <v/>
      </c>
      <c r="AP148" s="165" t="str">
        <f>IF(Table2[[#This Row],[Counter Number]]="","",Table1[[#This Row],[New Engine Model Year:]])</f>
        <v/>
      </c>
      <c r="AQ148" s="60" t="str">
        <f>IF(Table2[[#This Row],[Counter Number]]="","","NA")</f>
        <v/>
      </c>
      <c r="AR148" s="165" t="str">
        <f>IF(Table2[[#This Row],[Counter Number]]="","",Table1[[#This Row],[New Engine Horsepower (HP):]])</f>
        <v/>
      </c>
      <c r="AS148" s="60" t="str">
        <f>IF(Table2[[#This Row],[Counter Number]]="","","NA")</f>
        <v/>
      </c>
      <c r="AT148" s="165" t="str">
        <f>IF(Table2[[#This Row],[Counter Number]]="","",Table1[[#This Row],[New Engine Cylinder Displacement (L):]]&amp;" L")</f>
        <v/>
      </c>
      <c r="AU148" s="114" t="str">
        <f>IF(Table2[[#This Row],[Counter Number]]="","",Table1[[#This Row],[New Engine Number of Cylinders:]])</f>
        <v/>
      </c>
      <c r="AV148" s="60" t="str">
        <f>IF(Table2[[#This Row],[Counter Number]]="","",Table1[[#This Row],[New Engine Family Name:]])</f>
        <v/>
      </c>
      <c r="AW14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8" s="60" t="str">
        <f>IF(Table2[[#This Row],[Counter Number]]="","","NA")</f>
        <v/>
      </c>
      <c r="AY148" s="172" t="str">
        <f>IF(Table2[[#This Row],[Counter Number]]="","",IF(Table2[[#This Row],[New Engine Fuel Type:]]="ULSD",Table1[[#This Row],[Annual Miles Traveled]]/Table1[[#This Row],[New Fuel (mpg) if Diesel]],""))</f>
        <v/>
      </c>
      <c r="AZ148" s="60"/>
      <c r="BA148" s="173" t="str">
        <f>IF(Table2[[#This Row],[Counter Number]]="","",Table2[[#This Row],[Annual Miles Traveled:]]*VLOOKUP(Table2[[#This Row],[Engine Model Year:]],EFTable[],3,FALSE))</f>
        <v/>
      </c>
      <c r="BB148" s="173" t="str">
        <f>IF(Table2[[#This Row],[Counter Number]]="","",Table2[[#This Row],[Annual Miles Traveled:]]*IF(Table2[[#This Row],[New Engine Fuel Type:]]="ULSD",VLOOKUP(Table2[[#This Row],[New Engine Model Year:]],EFTable[],3,FALSE),VLOOKUP(Table2[[#This Row],[New Engine Fuel Type:]],EFTable[],3,FALSE)))</f>
        <v/>
      </c>
      <c r="BC148" s="187" t="str">
        <f>IF(Table2[[#This Row],[Counter Number]]="","",Table2[[#This Row],[Old Bus NOx Emissions (tons/yr)]]-Table2[[#This Row],[New Bus NOx Emissions (tons/yr)]])</f>
        <v/>
      </c>
      <c r="BD148" s="188" t="str">
        <f>IF(Table2[[#This Row],[Counter Number]]="","",Table2[[#This Row],[Reduction Bus NOx Emissions (tons/yr)]]/Table2[[#This Row],[Old Bus NOx Emissions (tons/yr)]])</f>
        <v/>
      </c>
      <c r="BE148" s="175" t="str">
        <f>IF(Table2[[#This Row],[Counter Number]]="","",Table2[[#This Row],[Reduction Bus NOx Emissions (tons/yr)]]*Table2[[#This Row],[Remaining Life:]])</f>
        <v/>
      </c>
      <c r="BF148" s="189" t="str">
        <f>IF(Table2[[#This Row],[Counter Number]]="","",IF(Table2[[#This Row],[Lifetime NOx Reduction (tons)]]=0,"NA",Table2[[#This Row],[Upgrade Cost Per Unit]]/Table2[[#This Row],[Lifetime NOx Reduction (tons)]]))</f>
        <v/>
      </c>
      <c r="BG148" s="190" t="str">
        <f>IF(Table2[[#This Row],[Counter Number]]="","",Table2[[#This Row],[Annual Miles Traveled:]]*VLOOKUP(Table2[[#This Row],[Engine Model Year:]],EF!$A$2:$G$27,4,FALSE))</f>
        <v/>
      </c>
      <c r="BH148" s="173" t="str">
        <f>IF(Table2[[#This Row],[Counter Number]]="","",Table2[[#This Row],[Annual Miles Traveled:]]*IF(Table2[[#This Row],[New Engine Fuel Type:]]="ULSD",VLOOKUP(Table2[[#This Row],[New Engine Model Year:]],EFTable[],4,FALSE),VLOOKUP(Table2[[#This Row],[New Engine Fuel Type:]],EFTable[],4,FALSE)))</f>
        <v/>
      </c>
      <c r="BI148" s="191" t="str">
        <f>IF(Table2[[#This Row],[Counter Number]]="","",Table2[[#This Row],[Old Bus PM2.5 Emissions (tons/yr)]]-Table2[[#This Row],[New Bus PM2.5 Emissions (tons/yr)]])</f>
        <v/>
      </c>
      <c r="BJ148" s="192" t="str">
        <f>IF(Table2[[#This Row],[Counter Number]]="","",Table2[[#This Row],[Reduction Bus PM2.5 Emissions (tons/yr)]]/Table2[[#This Row],[Old Bus PM2.5 Emissions (tons/yr)]])</f>
        <v/>
      </c>
      <c r="BK148" s="193" t="str">
        <f>IF(Table2[[#This Row],[Counter Number]]="","",Table2[[#This Row],[Reduction Bus PM2.5 Emissions (tons/yr)]]*Table2[[#This Row],[Remaining Life:]])</f>
        <v/>
      </c>
      <c r="BL148" s="194" t="str">
        <f>IF(Table2[[#This Row],[Counter Number]]="","",IF(Table2[[#This Row],[Lifetime PM2.5 Reduction (tons)]]=0,"NA",Table2[[#This Row],[Upgrade Cost Per Unit]]/Table2[[#This Row],[Lifetime PM2.5 Reduction (tons)]]))</f>
        <v/>
      </c>
      <c r="BM148" s="179" t="str">
        <f>IF(Table2[[#This Row],[Counter Number]]="","",Table2[[#This Row],[Annual Miles Traveled:]]*VLOOKUP(Table2[[#This Row],[Engine Model Year:]],EF!$A$2:$G$40,5,FALSE))</f>
        <v/>
      </c>
      <c r="BN148" s="173" t="str">
        <f>IF(Table2[[#This Row],[Counter Number]]="","",Table2[[#This Row],[Annual Miles Traveled:]]*IF(Table2[[#This Row],[New Engine Fuel Type:]]="ULSD",VLOOKUP(Table2[[#This Row],[New Engine Model Year:]],EFTable[],5,FALSE),VLOOKUP(Table2[[#This Row],[New Engine Fuel Type:]],EFTable[],5,FALSE)))</f>
        <v/>
      </c>
      <c r="BO148" s="190" t="str">
        <f>IF(Table2[[#This Row],[Counter Number]]="","",Table2[[#This Row],[Old Bus HC Emissions (tons/yr)]]-Table2[[#This Row],[New Bus HC Emissions (tons/yr)]])</f>
        <v/>
      </c>
      <c r="BP148" s="188" t="str">
        <f>IF(Table2[[#This Row],[Counter Number]]="","",Table2[[#This Row],[Reduction Bus HC Emissions (tons/yr)]]/Table2[[#This Row],[Old Bus HC Emissions (tons/yr)]])</f>
        <v/>
      </c>
      <c r="BQ148" s="193" t="str">
        <f>IF(Table2[[#This Row],[Counter Number]]="","",Table2[[#This Row],[Reduction Bus HC Emissions (tons/yr)]]*Table2[[#This Row],[Remaining Life:]])</f>
        <v/>
      </c>
      <c r="BR148" s="194" t="str">
        <f>IF(Table2[[#This Row],[Counter Number]]="","",IF(Table2[[#This Row],[Lifetime HC Reduction (tons)]]=0,"NA",Table2[[#This Row],[Upgrade Cost Per Unit]]/Table2[[#This Row],[Lifetime HC Reduction (tons)]]))</f>
        <v/>
      </c>
      <c r="BS148" s="191" t="str">
        <f>IF(Table2[[#This Row],[Counter Number]]="","",Table2[[#This Row],[Annual Miles Traveled:]]*VLOOKUP(Table2[[#This Row],[Engine Model Year:]],EF!$A$2:$G$27,6,FALSE))</f>
        <v/>
      </c>
      <c r="BT148" s="173" t="str">
        <f>IF(Table2[[#This Row],[Counter Number]]="","",Table2[[#This Row],[Annual Miles Traveled:]]*IF(Table2[[#This Row],[New Engine Fuel Type:]]="ULSD",VLOOKUP(Table2[[#This Row],[New Engine Model Year:]],EFTable[],6,FALSE),VLOOKUP(Table2[[#This Row],[New Engine Fuel Type:]],EFTable[],6,FALSE)))</f>
        <v/>
      </c>
      <c r="BU148" s="190" t="str">
        <f>IF(Table2[[#This Row],[Counter Number]]="","",Table2[[#This Row],[Old Bus CO Emissions (tons/yr)]]-Table2[[#This Row],[New Bus CO Emissions (tons/yr)]])</f>
        <v/>
      </c>
      <c r="BV148" s="188" t="str">
        <f>IF(Table2[[#This Row],[Counter Number]]="","",Table2[[#This Row],[Reduction Bus CO Emissions (tons/yr)]]/Table2[[#This Row],[Old Bus CO Emissions (tons/yr)]])</f>
        <v/>
      </c>
      <c r="BW148" s="193" t="str">
        <f>IF(Table2[[#This Row],[Counter Number]]="","",Table2[[#This Row],[Reduction Bus CO Emissions (tons/yr)]]*Table2[[#This Row],[Remaining Life:]])</f>
        <v/>
      </c>
      <c r="BX148" s="194" t="str">
        <f>IF(Table2[[#This Row],[Counter Number]]="","",IF(Table2[[#This Row],[Lifetime CO Reduction (tons)]]=0,"NA",Table2[[#This Row],[Upgrade Cost Per Unit]]/Table2[[#This Row],[Lifetime CO Reduction (tons)]]))</f>
        <v/>
      </c>
      <c r="BY148" s="180" t="str">
        <f>IF(Table2[[#This Row],[Counter Number]]="","",Table2[[#This Row],[Old ULSD Used (gal):]]*VLOOKUP(Table2[[#This Row],[Engine Model Year:]],EF!$A$2:$G$27,7,FALSE))</f>
        <v/>
      </c>
      <c r="BZ14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8" s="195" t="str">
        <f>IF(Table2[[#This Row],[Counter Number]]="","",Table2[[#This Row],[Old Bus CO2 Emissions (tons/yr)]]-Table2[[#This Row],[New Bus CO2 Emissions (tons/yr)]])</f>
        <v/>
      </c>
      <c r="CB148" s="188" t="str">
        <f>IF(Table2[[#This Row],[Counter Number]]="","",Table2[[#This Row],[Reduction Bus CO2 Emissions (tons/yr)]]/Table2[[#This Row],[Old Bus CO2 Emissions (tons/yr)]])</f>
        <v/>
      </c>
      <c r="CC148" s="195" t="str">
        <f>IF(Table2[[#This Row],[Counter Number]]="","",Table2[[#This Row],[Reduction Bus CO2 Emissions (tons/yr)]]*Table2[[#This Row],[Remaining Life:]])</f>
        <v/>
      </c>
      <c r="CD148" s="194" t="str">
        <f>IF(Table2[[#This Row],[Counter Number]]="","",IF(Table2[[#This Row],[Lifetime CO2 Reduction (tons)]]=0,"NA",Table2[[#This Row],[Upgrade Cost Per Unit]]/Table2[[#This Row],[Lifetime CO2 Reduction (tons)]]))</f>
        <v/>
      </c>
      <c r="CE148" s="182" t="str">
        <f>IF(Table2[[#This Row],[Counter Number]]="","",IF(Table2[[#This Row],[New ULSD Used (gal):]]="",Table2[[#This Row],[Old ULSD Used (gal):]],Table2[[#This Row],[Old ULSD Used (gal):]]-Table2[[#This Row],[New ULSD Used (gal):]]))</f>
        <v/>
      </c>
      <c r="CF148" s="196" t="str">
        <f>IF(Table2[[#This Row],[Counter Number]]="","",Table2[[#This Row],[Diesel Fuel Reduction (gal/yr)]]/Table2[[#This Row],[Old ULSD Used (gal):]])</f>
        <v/>
      </c>
      <c r="CG148" s="197" t="str">
        <f>IF(Table2[[#This Row],[Counter Number]]="","",Table2[[#This Row],[Diesel Fuel Reduction (gal/yr)]]*Table2[[#This Row],[Remaining Life:]])</f>
        <v/>
      </c>
    </row>
    <row r="149" spans="1:85">
      <c r="A149" s="184" t="str">
        <f>IF(A148&lt;Application!$D$24,A148+1,"")</f>
        <v/>
      </c>
      <c r="B149" s="60" t="str">
        <f>IF(Table2[[#This Row],[Counter Number]]="","",Application!$D$16)</f>
        <v/>
      </c>
      <c r="C149" s="60" t="str">
        <f>IF(Table2[[#This Row],[Counter Number]]="","",Application!$D$14)</f>
        <v/>
      </c>
      <c r="D149" s="60" t="str">
        <f>IF(Table2[[#This Row],[Counter Number]]="","",Table1[[#This Row],[Old Bus Number]])</f>
        <v/>
      </c>
      <c r="E149" s="60" t="str">
        <f>IF(Table2[[#This Row],[Counter Number]]="","",Application!$D$15)</f>
        <v/>
      </c>
      <c r="F149" s="60" t="str">
        <f>IF(Table2[[#This Row],[Counter Number]]="","","On Highway")</f>
        <v/>
      </c>
      <c r="G149" s="60" t="str">
        <f>IF(Table2[[#This Row],[Counter Number]]="","",I149)</f>
        <v/>
      </c>
      <c r="H149" s="60" t="str">
        <f>IF(Table2[[#This Row],[Counter Number]]="","","Georgia")</f>
        <v/>
      </c>
      <c r="I149" s="60" t="str">
        <f>IF(Table2[[#This Row],[Counter Number]]="","",Application!$D$16)</f>
        <v/>
      </c>
      <c r="J149" s="60" t="str">
        <f>IF(Table2[[#This Row],[Counter Number]]="","",Application!$D$21)</f>
        <v/>
      </c>
      <c r="K149" s="60" t="str">
        <f>IF(Table2[[#This Row],[Counter Number]]="","",Application!$J$21)</f>
        <v/>
      </c>
      <c r="L149" s="60" t="str">
        <f>IF(Table2[[#This Row],[Counter Number]]="","","School Bus")</f>
        <v/>
      </c>
      <c r="M149" s="60" t="str">
        <f>IF(Table2[[#This Row],[Counter Number]]="","","School Bus")</f>
        <v/>
      </c>
      <c r="N149" s="60" t="str">
        <f>IF(Table2[[#This Row],[Counter Number]]="","",1)</f>
        <v/>
      </c>
      <c r="O149" s="60" t="str">
        <f>IF(Table2[[#This Row],[Counter Number]]="","",Table1[[#This Row],[Vehicle Identification Number(s):]])</f>
        <v/>
      </c>
      <c r="P149" s="60" t="str">
        <f>IF(Table2[[#This Row],[Counter Number]]="","",Table1[[#This Row],[Old Bus Manufacturer:]])</f>
        <v/>
      </c>
      <c r="Q149" s="60" t="str">
        <f>IF(Table2[[#This Row],[Counter Number]]="","",Table1[[#This Row],[Vehicle Model:]])</f>
        <v/>
      </c>
      <c r="R149" s="165" t="str">
        <f>IF(Table2[[#This Row],[Counter Number]]="","",Table1[[#This Row],[Vehicle Model Year:]])</f>
        <v/>
      </c>
      <c r="S149" s="60" t="str">
        <f>IF(Table2[[#This Row],[Counter Number]]="","",Table1[[#This Row],[Engine Serial Number(s):]])</f>
        <v/>
      </c>
      <c r="T149" s="60" t="str">
        <f>IF(Table2[[#This Row],[Counter Number]]="","",Table1[[#This Row],[Engine Make:]])</f>
        <v/>
      </c>
      <c r="U149" s="60" t="str">
        <f>IF(Table2[[#This Row],[Counter Number]]="","",Table1[[#This Row],[Engine Model:]])</f>
        <v/>
      </c>
      <c r="V149" s="165" t="str">
        <f>IF(Table2[[#This Row],[Counter Number]]="","",Table1[[#This Row],[Engine Model Year:]])</f>
        <v/>
      </c>
      <c r="W149" s="60" t="str">
        <f>IF(Table2[[#This Row],[Counter Number]]="","","NA")</f>
        <v/>
      </c>
      <c r="X149" s="165" t="str">
        <f>IF(Table2[[#This Row],[Counter Number]]="","",Table1[[#This Row],[Engine Horsepower (HP):]])</f>
        <v/>
      </c>
      <c r="Y149" s="165" t="str">
        <f>IF(Table2[[#This Row],[Counter Number]]="","",Table1[[#This Row],[Engine Cylinder Displacement (L):]]&amp;" L")</f>
        <v/>
      </c>
      <c r="Z149" s="165" t="str">
        <f>IF(Table2[[#This Row],[Counter Number]]="","",Table1[[#This Row],[Engine Number of Cylinders:]])</f>
        <v/>
      </c>
      <c r="AA149" s="166" t="str">
        <f>IF(Table2[[#This Row],[Counter Number]]="","",Table1[[#This Row],[Engine Family Name:]])</f>
        <v/>
      </c>
      <c r="AB149" s="60" t="str">
        <f>IF(Table2[[#This Row],[Counter Number]]="","","ULSD")</f>
        <v/>
      </c>
      <c r="AC149" s="167" t="str">
        <f>IF(Table2[[#This Row],[Counter Number]]="","",Table2[[#This Row],[Annual Miles Traveled:]]/Table1[[#This Row],[Old Fuel (mpg)]])</f>
        <v/>
      </c>
      <c r="AD149" s="60" t="str">
        <f>IF(Table2[[#This Row],[Counter Number]]="","","NA")</f>
        <v/>
      </c>
      <c r="AE149" s="168" t="str">
        <f>IF(Table2[[#This Row],[Counter Number]]="","",Table1[[#This Row],[Annual Miles Traveled]])</f>
        <v/>
      </c>
      <c r="AF149" s="169" t="str">
        <f>IF(Table2[[#This Row],[Counter Number]]="","",Table1[[#This Row],[Annual Idling Hours:]])</f>
        <v/>
      </c>
      <c r="AG149" s="60" t="str">
        <f>IF(Table2[[#This Row],[Counter Number]]="","","NA")</f>
        <v/>
      </c>
      <c r="AH149" s="165" t="str">
        <f>IF(Table2[[#This Row],[Counter Number]]="","",IF(Application!$J$25="Set Policy",Table1[[#This Row],[Remaining Life (years)         Set Policy]],Table1[[#This Row],[Remaining Life (years)               Case-by-Case]]))</f>
        <v/>
      </c>
      <c r="AI149" s="165" t="str">
        <f>IF(Table2[[#This Row],[Counter Number]]="","",IF(Application!$J$25="Case-by-Case","NA",Table2[[#This Row],[Fiscal Year of EPA Funds Used:]]+Table2[[#This Row],[Remaining Life:]]))</f>
        <v/>
      </c>
      <c r="AJ149" s="165"/>
      <c r="AK149" s="170" t="str">
        <f>IF(Table2[[#This Row],[Counter Number]]="","",Application!$D$14+1)</f>
        <v/>
      </c>
      <c r="AL149" s="60" t="str">
        <f>IF(Table2[[#This Row],[Counter Number]]="","","Vehicle Replacement")</f>
        <v/>
      </c>
      <c r="AM14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9" s="171" t="str">
        <f>IF(Table2[[#This Row],[Counter Number]]="","",Table1[[#This Row],[Cost of New Bus:]])</f>
        <v/>
      </c>
      <c r="AO149" s="60" t="str">
        <f>IF(Table2[[#This Row],[Counter Number]]="","","NA")</f>
        <v/>
      </c>
      <c r="AP149" s="165" t="str">
        <f>IF(Table2[[#This Row],[Counter Number]]="","",Table1[[#This Row],[New Engine Model Year:]])</f>
        <v/>
      </c>
      <c r="AQ149" s="60" t="str">
        <f>IF(Table2[[#This Row],[Counter Number]]="","","NA")</f>
        <v/>
      </c>
      <c r="AR149" s="165" t="str">
        <f>IF(Table2[[#This Row],[Counter Number]]="","",Table1[[#This Row],[New Engine Horsepower (HP):]])</f>
        <v/>
      </c>
      <c r="AS149" s="60" t="str">
        <f>IF(Table2[[#This Row],[Counter Number]]="","","NA")</f>
        <v/>
      </c>
      <c r="AT149" s="165" t="str">
        <f>IF(Table2[[#This Row],[Counter Number]]="","",Table1[[#This Row],[New Engine Cylinder Displacement (L):]]&amp;" L")</f>
        <v/>
      </c>
      <c r="AU149" s="114" t="str">
        <f>IF(Table2[[#This Row],[Counter Number]]="","",Table1[[#This Row],[New Engine Number of Cylinders:]])</f>
        <v/>
      </c>
      <c r="AV149" s="60" t="str">
        <f>IF(Table2[[#This Row],[Counter Number]]="","",Table1[[#This Row],[New Engine Family Name:]])</f>
        <v/>
      </c>
      <c r="AW14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9" s="60" t="str">
        <f>IF(Table2[[#This Row],[Counter Number]]="","","NA")</f>
        <v/>
      </c>
      <c r="AY149" s="172" t="str">
        <f>IF(Table2[[#This Row],[Counter Number]]="","",IF(Table2[[#This Row],[New Engine Fuel Type:]]="ULSD",Table1[[#This Row],[Annual Miles Traveled]]/Table1[[#This Row],[New Fuel (mpg) if Diesel]],""))</f>
        <v/>
      </c>
      <c r="AZ149" s="60"/>
      <c r="BA149" s="173" t="str">
        <f>IF(Table2[[#This Row],[Counter Number]]="","",Table2[[#This Row],[Annual Miles Traveled:]]*VLOOKUP(Table2[[#This Row],[Engine Model Year:]],EFTable[],3,FALSE))</f>
        <v/>
      </c>
      <c r="BB149" s="173" t="str">
        <f>IF(Table2[[#This Row],[Counter Number]]="","",Table2[[#This Row],[Annual Miles Traveled:]]*IF(Table2[[#This Row],[New Engine Fuel Type:]]="ULSD",VLOOKUP(Table2[[#This Row],[New Engine Model Year:]],EFTable[],3,FALSE),VLOOKUP(Table2[[#This Row],[New Engine Fuel Type:]],EFTable[],3,FALSE)))</f>
        <v/>
      </c>
      <c r="BC149" s="187" t="str">
        <f>IF(Table2[[#This Row],[Counter Number]]="","",Table2[[#This Row],[Old Bus NOx Emissions (tons/yr)]]-Table2[[#This Row],[New Bus NOx Emissions (tons/yr)]])</f>
        <v/>
      </c>
      <c r="BD149" s="188" t="str">
        <f>IF(Table2[[#This Row],[Counter Number]]="","",Table2[[#This Row],[Reduction Bus NOx Emissions (tons/yr)]]/Table2[[#This Row],[Old Bus NOx Emissions (tons/yr)]])</f>
        <v/>
      </c>
      <c r="BE149" s="175" t="str">
        <f>IF(Table2[[#This Row],[Counter Number]]="","",Table2[[#This Row],[Reduction Bus NOx Emissions (tons/yr)]]*Table2[[#This Row],[Remaining Life:]])</f>
        <v/>
      </c>
      <c r="BF149" s="189" t="str">
        <f>IF(Table2[[#This Row],[Counter Number]]="","",IF(Table2[[#This Row],[Lifetime NOx Reduction (tons)]]=0,"NA",Table2[[#This Row],[Upgrade Cost Per Unit]]/Table2[[#This Row],[Lifetime NOx Reduction (tons)]]))</f>
        <v/>
      </c>
      <c r="BG149" s="190" t="str">
        <f>IF(Table2[[#This Row],[Counter Number]]="","",Table2[[#This Row],[Annual Miles Traveled:]]*VLOOKUP(Table2[[#This Row],[Engine Model Year:]],EF!$A$2:$G$27,4,FALSE))</f>
        <v/>
      </c>
      <c r="BH149" s="173" t="str">
        <f>IF(Table2[[#This Row],[Counter Number]]="","",Table2[[#This Row],[Annual Miles Traveled:]]*IF(Table2[[#This Row],[New Engine Fuel Type:]]="ULSD",VLOOKUP(Table2[[#This Row],[New Engine Model Year:]],EFTable[],4,FALSE),VLOOKUP(Table2[[#This Row],[New Engine Fuel Type:]],EFTable[],4,FALSE)))</f>
        <v/>
      </c>
      <c r="BI149" s="191" t="str">
        <f>IF(Table2[[#This Row],[Counter Number]]="","",Table2[[#This Row],[Old Bus PM2.5 Emissions (tons/yr)]]-Table2[[#This Row],[New Bus PM2.5 Emissions (tons/yr)]])</f>
        <v/>
      </c>
      <c r="BJ149" s="192" t="str">
        <f>IF(Table2[[#This Row],[Counter Number]]="","",Table2[[#This Row],[Reduction Bus PM2.5 Emissions (tons/yr)]]/Table2[[#This Row],[Old Bus PM2.5 Emissions (tons/yr)]])</f>
        <v/>
      </c>
      <c r="BK149" s="193" t="str">
        <f>IF(Table2[[#This Row],[Counter Number]]="","",Table2[[#This Row],[Reduction Bus PM2.5 Emissions (tons/yr)]]*Table2[[#This Row],[Remaining Life:]])</f>
        <v/>
      </c>
      <c r="BL149" s="194" t="str">
        <f>IF(Table2[[#This Row],[Counter Number]]="","",IF(Table2[[#This Row],[Lifetime PM2.5 Reduction (tons)]]=0,"NA",Table2[[#This Row],[Upgrade Cost Per Unit]]/Table2[[#This Row],[Lifetime PM2.5 Reduction (tons)]]))</f>
        <v/>
      </c>
      <c r="BM149" s="179" t="str">
        <f>IF(Table2[[#This Row],[Counter Number]]="","",Table2[[#This Row],[Annual Miles Traveled:]]*VLOOKUP(Table2[[#This Row],[Engine Model Year:]],EF!$A$2:$G$40,5,FALSE))</f>
        <v/>
      </c>
      <c r="BN149" s="173" t="str">
        <f>IF(Table2[[#This Row],[Counter Number]]="","",Table2[[#This Row],[Annual Miles Traveled:]]*IF(Table2[[#This Row],[New Engine Fuel Type:]]="ULSD",VLOOKUP(Table2[[#This Row],[New Engine Model Year:]],EFTable[],5,FALSE),VLOOKUP(Table2[[#This Row],[New Engine Fuel Type:]],EFTable[],5,FALSE)))</f>
        <v/>
      </c>
      <c r="BO149" s="190" t="str">
        <f>IF(Table2[[#This Row],[Counter Number]]="","",Table2[[#This Row],[Old Bus HC Emissions (tons/yr)]]-Table2[[#This Row],[New Bus HC Emissions (tons/yr)]])</f>
        <v/>
      </c>
      <c r="BP149" s="188" t="str">
        <f>IF(Table2[[#This Row],[Counter Number]]="","",Table2[[#This Row],[Reduction Bus HC Emissions (tons/yr)]]/Table2[[#This Row],[Old Bus HC Emissions (tons/yr)]])</f>
        <v/>
      </c>
      <c r="BQ149" s="193" t="str">
        <f>IF(Table2[[#This Row],[Counter Number]]="","",Table2[[#This Row],[Reduction Bus HC Emissions (tons/yr)]]*Table2[[#This Row],[Remaining Life:]])</f>
        <v/>
      </c>
      <c r="BR149" s="194" t="str">
        <f>IF(Table2[[#This Row],[Counter Number]]="","",IF(Table2[[#This Row],[Lifetime HC Reduction (tons)]]=0,"NA",Table2[[#This Row],[Upgrade Cost Per Unit]]/Table2[[#This Row],[Lifetime HC Reduction (tons)]]))</f>
        <v/>
      </c>
      <c r="BS149" s="191" t="str">
        <f>IF(Table2[[#This Row],[Counter Number]]="","",Table2[[#This Row],[Annual Miles Traveled:]]*VLOOKUP(Table2[[#This Row],[Engine Model Year:]],EF!$A$2:$G$27,6,FALSE))</f>
        <v/>
      </c>
      <c r="BT149" s="173" t="str">
        <f>IF(Table2[[#This Row],[Counter Number]]="","",Table2[[#This Row],[Annual Miles Traveled:]]*IF(Table2[[#This Row],[New Engine Fuel Type:]]="ULSD",VLOOKUP(Table2[[#This Row],[New Engine Model Year:]],EFTable[],6,FALSE),VLOOKUP(Table2[[#This Row],[New Engine Fuel Type:]],EFTable[],6,FALSE)))</f>
        <v/>
      </c>
      <c r="BU149" s="190" t="str">
        <f>IF(Table2[[#This Row],[Counter Number]]="","",Table2[[#This Row],[Old Bus CO Emissions (tons/yr)]]-Table2[[#This Row],[New Bus CO Emissions (tons/yr)]])</f>
        <v/>
      </c>
      <c r="BV149" s="188" t="str">
        <f>IF(Table2[[#This Row],[Counter Number]]="","",Table2[[#This Row],[Reduction Bus CO Emissions (tons/yr)]]/Table2[[#This Row],[Old Bus CO Emissions (tons/yr)]])</f>
        <v/>
      </c>
      <c r="BW149" s="193" t="str">
        <f>IF(Table2[[#This Row],[Counter Number]]="","",Table2[[#This Row],[Reduction Bus CO Emissions (tons/yr)]]*Table2[[#This Row],[Remaining Life:]])</f>
        <v/>
      </c>
      <c r="BX149" s="194" t="str">
        <f>IF(Table2[[#This Row],[Counter Number]]="","",IF(Table2[[#This Row],[Lifetime CO Reduction (tons)]]=0,"NA",Table2[[#This Row],[Upgrade Cost Per Unit]]/Table2[[#This Row],[Lifetime CO Reduction (tons)]]))</f>
        <v/>
      </c>
      <c r="BY149" s="180" t="str">
        <f>IF(Table2[[#This Row],[Counter Number]]="","",Table2[[#This Row],[Old ULSD Used (gal):]]*VLOOKUP(Table2[[#This Row],[Engine Model Year:]],EF!$A$2:$G$27,7,FALSE))</f>
        <v/>
      </c>
      <c r="BZ14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9" s="195" t="str">
        <f>IF(Table2[[#This Row],[Counter Number]]="","",Table2[[#This Row],[Old Bus CO2 Emissions (tons/yr)]]-Table2[[#This Row],[New Bus CO2 Emissions (tons/yr)]])</f>
        <v/>
      </c>
      <c r="CB149" s="188" t="str">
        <f>IF(Table2[[#This Row],[Counter Number]]="","",Table2[[#This Row],[Reduction Bus CO2 Emissions (tons/yr)]]/Table2[[#This Row],[Old Bus CO2 Emissions (tons/yr)]])</f>
        <v/>
      </c>
      <c r="CC149" s="195" t="str">
        <f>IF(Table2[[#This Row],[Counter Number]]="","",Table2[[#This Row],[Reduction Bus CO2 Emissions (tons/yr)]]*Table2[[#This Row],[Remaining Life:]])</f>
        <v/>
      </c>
      <c r="CD149" s="194" t="str">
        <f>IF(Table2[[#This Row],[Counter Number]]="","",IF(Table2[[#This Row],[Lifetime CO2 Reduction (tons)]]=0,"NA",Table2[[#This Row],[Upgrade Cost Per Unit]]/Table2[[#This Row],[Lifetime CO2 Reduction (tons)]]))</f>
        <v/>
      </c>
      <c r="CE149" s="182" t="str">
        <f>IF(Table2[[#This Row],[Counter Number]]="","",IF(Table2[[#This Row],[New ULSD Used (gal):]]="",Table2[[#This Row],[Old ULSD Used (gal):]],Table2[[#This Row],[Old ULSD Used (gal):]]-Table2[[#This Row],[New ULSD Used (gal):]]))</f>
        <v/>
      </c>
      <c r="CF149" s="196" t="str">
        <f>IF(Table2[[#This Row],[Counter Number]]="","",Table2[[#This Row],[Diesel Fuel Reduction (gal/yr)]]/Table2[[#This Row],[Old ULSD Used (gal):]])</f>
        <v/>
      </c>
      <c r="CG149" s="197" t="str">
        <f>IF(Table2[[#This Row],[Counter Number]]="","",Table2[[#This Row],[Diesel Fuel Reduction (gal/yr)]]*Table2[[#This Row],[Remaining Life:]])</f>
        <v/>
      </c>
    </row>
    <row r="150" spans="1:85">
      <c r="A150" s="184" t="str">
        <f>IF(A149&lt;Application!$D$24,A149+1,"")</f>
        <v/>
      </c>
      <c r="B150" s="60" t="str">
        <f>IF(Table2[[#This Row],[Counter Number]]="","",Application!$D$16)</f>
        <v/>
      </c>
      <c r="C150" s="60" t="str">
        <f>IF(Table2[[#This Row],[Counter Number]]="","",Application!$D$14)</f>
        <v/>
      </c>
      <c r="D150" s="60" t="str">
        <f>IF(Table2[[#This Row],[Counter Number]]="","",Table1[[#This Row],[Old Bus Number]])</f>
        <v/>
      </c>
      <c r="E150" s="60" t="str">
        <f>IF(Table2[[#This Row],[Counter Number]]="","",Application!$D$15)</f>
        <v/>
      </c>
      <c r="F150" s="60" t="str">
        <f>IF(Table2[[#This Row],[Counter Number]]="","","On Highway")</f>
        <v/>
      </c>
      <c r="G150" s="60" t="str">
        <f>IF(Table2[[#This Row],[Counter Number]]="","",I150)</f>
        <v/>
      </c>
      <c r="H150" s="60" t="str">
        <f>IF(Table2[[#This Row],[Counter Number]]="","","Georgia")</f>
        <v/>
      </c>
      <c r="I150" s="60" t="str">
        <f>IF(Table2[[#This Row],[Counter Number]]="","",Application!$D$16)</f>
        <v/>
      </c>
      <c r="J150" s="60" t="str">
        <f>IF(Table2[[#This Row],[Counter Number]]="","",Application!$D$21)</f>
        <v/>
      </c>
      <c r="K150" s="60" t="str">
        <f>IF(Table2[[#This Row],[Counter Number]]="","",Application!$J$21)</f>
        <v/>
      </c>
      <c r="L150" s="60" t="str">
        <f>IF(Table2[[#This Row],[Counter Number]]="","","School Bus")</f>
        <v/>
      </c>
      <c r="M150" s="60" t="str">
        <f>IF(Table2[[#This Row],[Counter Number]]="","","School Bus")</f>
        <v/>
      </c>
      <c r="N150" s="60" t="str">
        <f>IF(Table2[[#This Row],[Counter Number]]="","",1)</f>
        <v/>
      </c>
      <c r="O150" s="60" t="str">
        <f>IF(Table2[[#This Row],[Counter Number]]="","",Table1[[#This Row],[Vehicle Identification Number(s):]])</f>
        <v/>
      </c>
      <c r="P150" s="60" t="str">
        <f>IF(Table2[[#This Row],[Counter Number]]="","",Table1[[#This Row],[Old Bus Manufacturer:]])</f>
        <v/>
      </c>
      <c r="Q150" s="60" t="str">
        <f>IF(Table2[[#This Row],[Counter Number]]="","",Table1[[#This Row],[Vehicle Model:]])</f>
        <v/>
      </c>
      <c r="R150" s="165" t="str">
        <f>IF(Table2[[#This Row],[Counter Number]]="","",Table1[[#This Row],[Vehicle Model Year:]])</f>
        <v/>
      </c>
      <c r="S150" s="60" t="str">
        <f>IF(Table2[[#This Row],[Counter Number]]="","",Table1[[#This Row],[Engine Serial Number(s):]])</f>
        <v/>
      </c>
      <c r="T150" s="60" t="str">
        <f>IF(Table2[[#This Row],[Counter Number]]="","",Table1[[#This Row],[Engine Make:]])</f>
        <v/>
      </c>
      <c r="U150" s="60" t="str">
        <f>IF(Table2[[#This Row],[Counter Number]]="","",Table1[[#This Row],[Engine Model:]])</f>
        <v/>
      </c>
      <c r="V150" s="165" t="str">
        <f>IF(Table2[[#This Row],[Counter Number]]="","",Table1[[#This Row],[Engine Model Year:]])</f>
        <v/>
      </c>
      <c r="W150" s="60" t="str">
        <f>IF(Table2[[#This Row],[Counter Number]]="","","NA")</f>
        <v/>
      </c>
      <c r="X150" s="165" t="str">
        <f>IF(Table2[[#This Row],[Counter Number]]="","",Table1[[#This Row],[Engine Horsepower (HP):]])</f>
        <v/>
      </c>
      <c r="Y150" s="165" t="str">
        <f>IF(Table2[[#This Row],[Counter Number]]="","",Table1[[#This Row],[Engine Cylinder Displacement (L):]]&amp;" L")</f>
        <v/>
      </c>
      <c r="Z150" s="165" t="str">
        <f>IF(Table2[[#This Row],[Counter Number]]="","",Table1[[#This Row],[Engine Number of Cylinders:]])</f>
        <v/>
      </c>
      <c r="AA150" s="166" t="str">
        <f>IF(Table2[[#This Row],[Counter Number]]="","",Table1[[#This Row],[Engine Family Name:]])</f>
        <v/>
      </c>
      <c r="AB150" s="60" t="str">
        <f>IF(Table2[[#This Row],[Counter Number]]="","","ULSD")</f>
        <v/>
      </c>
      <c r="AC150" s="167" t="str">
        <f>IF(Table2[[#This Row],[Counter Number]]="","",Table2[[#This Row],[Annual Miles Traveled:]]/Table1[[#This Row],[Old Fuel (mpg)]])</f>
        <v/>
      </c>
      <c r="AD150" s="60" t="str">
        <f>IF(Table2[[#This Row],[Counter Number]]="","","NA")</f>
        <v/>
      </c>
      <c r="AE150" s="168" t="str">
        <f>IF(Table2[[#This Row],[Counter Number]]="","",Table1[[#This Row],[Annual Miles Traveled]])</f>
        <v/>
      </c>
      <c r="AF150" s="169" t="str">
        <f>IF(Table2[[#This Row],[Counter Number]]="","",Table1[[#This Row],[Annual Idling Hours:]])</f>
        <v/>
      </c>
      <c r="AG150" s="60" t="str">
        <f>IF(Table2[[#This Row],[Counter Number]]="","","NA")</f>
        <v/>
      </c>
      <c r="AH150" s="165" t="str">
        <f>IF(Table2[[#This Row],[Counter Number]]="","",IF(Application!$J$25="Set Policy",Table1[[#This Row],[Remaining Life (years)         Set Policy]],Table1[[#This Row],[Remaining Life (years)               Case-by-Case]]))</f>
        <v/>
      </c>
      <c r="AI150" s="165" t="str">
        <f>IF(Table2[[#This Row],[Counter Number]]="","",IF(Application!$J$25="Case-by-Case","NA",Table2[[#This Row],[Fiscal Year of EPA Funds Used:]]+Table2[[#This Row],[Remaining Life:]]))</f>
        <v/>
      </c>
      <c r="AJ150" s="165"/>
      <c r="AK150" s="170" t="str">
        <f>IF(Table2[[#This Row],[Counter Number]]="","",Application!$D$14+1)</f>
        <v/>
      </c>
      <c r="AL150" s="60" t="str">
        <f>IF(Table2[[#This Row],[Counter Number]]="","","Vehicle Replacement")</f>
        <v/>
      </c>
      <c r="AM15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0" s="171" t="str">
        <f>IF(Table2[[#This Row],[Counter Number]]="","",Table1[[#This Row],[Cost of New Bus:]])</f>
        <v/>
      </c>
      <c r="AO150" s="60" t="str">
        <f>IF(Table2[[#This Row],[Counter Number]]="","","NA")</f>
        <v/>
      </c>
      <c r="AP150" s="165" t="str">
        <f>IF(Table2[[#This Row],[Counter Number]]="","",Table1[[#This Row],[New Engine Model Year:]])</f>
        <v/>
      </c>
      <c r="AQ150" s="60" t="str">
        <f>IF(Table2[[#This Row],[Counter Number]]="","","NA")</f>
        <v/>
      </c>
      <c r="AR150" s="165" t="str">
        <f>IF(Table2[[#This Row],[Counter Number]]="","",Table1[[#This Row],[New Engine Horsepower (HP):]])</f>
        <v/>
      </c>
      <c r="AS150" s="60" t="str">
        <f>IF(Table2[[#This Row],[Counter Number]]="","","NA")</f>
        <v/>
      </c>
      <c r="AT150" s="165" t="str">
        <f>IF(Table2[[#This Row],[Counter Number]]="","",Table1[[#This Row],[New Engine Cylinder Displacement (L):]]&amp;" L")</f>
        <v/>
      </c>
      <c r="AU150" s="114" t="str">
        <f>IF(Table2[[#This Row],[Counter Number]]="","",Table1[[#This Row],[New Engine Number of Cylinders:]])</f>
        <v/>
      </c>
      <c r="AV150" s="60" t="str">
        <f>IF(Table2[[#This Row],[Counter Number]]="","",Table1[[#This Row],[New Engine Family Name:]])</f>
        <v/>
      </c>
      <c r="AW15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0" s="60" t="str">
        <f>IF(Table2[[#This Row],[Counter Number]]="","","NA")</f>
        <v/>
      </c>
      <c r="AY150" s="172" t="str">
        <f>IF(Table2[[#This Row],[Counter Number]]="","",IF(Table2[[#This Row],[New Engine Fuel Type:]]="ULSD",Table1[[#This Row],[Annual Miles Traveled]]/Table1[[#This Row],[New Fuel (mpg) if Diesel]],""))</f>
        <v/>
      </c>
      <c r="AZ150" s="60"/>
      <c r="BA150" s="173" t="str">
        <f>IF(Table2[[#This Row],[Counter Number]]="","",Table2[[#This Row],[Annual Miles Traveled:]]*VLOOKUP(Table2[[#This Row],[Engine Model Year:]],EFTable[],3,FALSE))</f>
        <v/>
      </c>
      <c r="BB150" s="173" t="str">
        <f>IF(Table2[[#This Row],[Counter Number]]="","",Table2[[#This Row],[Annual Miles Traveled:]]*IF(Table2[[#This Row],[New Engine Fuel Type:]]="ULSD",VLOOKUP(Table2[[#This Row],[New Engine Model Year:]],EFTable[],3,FALSE),VLOOKUP(Table2[[#This Row],[New Engine Fuel Type:]],EFTable[],3,FALSE)))</f>
        <v/>
      </c>
      <c r="BC150" s="187" t="str">
        <f>IF(Table2[[#This Row],[Counter Number]]="","",Table2[[#This Row],[Old Bus NOx Emissions (tons/yr)]]-Table2[[#This Row],[New Bus NOx Emissions (tons/yr)]])</f>
        <v/>
      </c>
      <c r="BD150" s="188" t="str">
        <f>IF(Table2[[#This Row],[Counter Number]]="","",Table2[[#This Row],[Reduction Bus NOx Emissions (tons/yr)]]/Table2[[#This Row],[Old Bus NOx Emissions (tons/yr)]])</f>
        <v/>
      </c>
      <c r="BE150" s="175" t="str">
        <f>IF(Table2[[#This Row],[Counter Number]]="","",Table2[[#This Row],[Reduction Bus NOx Emissions (tons/yr)]]*Table2[[#This Row],[Remaining Life:]])</f>
        <v/>
      </c>
      <c r="BF150" s="189" t="str">
        <f>IF(Table2[[#This Row],[Counter Number]]="","",IF(Table2[[#This Row],[Lifetime NOx Reduction (tons)]]=0,"NA",Table2[[#This Row],[Upgrade Cost Per Unit]]/Table2[[#This Row],[Lifetime NOx Reduction (tons)]]))</f>
        <v/>
      </c>
      <c r="BG150" s="190" t="str">
        <f>IF(Table2[[#This Row],[Counter Number]]="","",Table2[[#This Row],[Annual Miles Traveled:]]*VLOOKUP(Table2[[#This Row],[Engine Model Year:]],EF!$A$2:$G$27,4,FALSE))</f>
        <v/>
      </c>
      <c r="BH150" s="173" t="str">
        <f>IF(Table2[[#This Row],[Counter Number]]="","",Table2[[#This Row],[Annual Miles Traveled:]]*IF(Table2[[#This Row],[New Engine Fuel Type:]]="ULSD",VLOOKUP(Table2[[#This Row],[New Engine Model Year:]],EFTable[],4,FALSE),VLOOKUP(Table2[[#This Row],[New Engine Fuel Type:]],EFTable[],4,FALSE)))</f>
        <v/>
      </c>
      <c r="BI150" s="191" t="str">
        <f>IF(Table2[[#This Row],[Counter Number]]="","",Table2[[#This Row],[Old Bus PM2.5 Emissions (tons/yr)]]-Table2[[#This Row],[New Bus PM2.5 Emissions (tons/yr)]])</f>
        <v/>
      </c>
      <c r="BJ150" s="192" t="str">
        <f>IF(Table2[[#This Row],[Counter Number]]="","",Table2[[#This Row],[Reduction Bus PM2.5 Emissions (tons/yr)]]/Table2[[#This Row],[Old Bus PM2.5 Emissions (tons/yr)]])</f>
        <v/>
      </c>
      <c r="BK150" s="193" t="str">
        <f>IF(Table2[[#This Row],[Counter Number]]="","",Table2[[#This Row],[Reduction Bus PM2.5 Emissions (tons/yr)]]*Table2[[#This Row],[Remaining Life:]])</f>
        <v/>
      </c>
      <c r="BL150" s="194" t="str">
        <f>IF(Table2[[#This Row],[Counter Number]]="","",IF(Table2[[#This Row],[Lifetime PM2.5 Reduction (tons)]]=0,"NA",Table2[[#This Row],[Upgrade Cost Per Unit]]/Table2[[#This Row],[Lifetime PM2.5 Reduction (tons)]]))</f>
        <v/>
      </c>
      <c r="BM150" s="179" t="str">
        <f>IF(Table2[[#This Row],[Counter Number]]="","",Table2[[#This Row],[Annual Miles Traveled:]]*VLOOKUP(Table2[[#This Row],[Engine Model Year:]],EF!$A$2:$G$40,5,FALSE))</f>
        <v/>
      </c>
      <c r="BN150" s="173" t="str">
        <f>IF(Table2[[#This Row],[Counter Number]]="","",Table2[[#This Row],[Annual Miles Traveled:]]*IF(Table2[[#This Row],[New Engine Fuel Type:]]="ULSD",VLOOKUP(Table2[[#This Row],[New Engine Model Year:]],EFTable[],5,FALSE),VLOOKUP(Table2[[#This Row],[New Engine Fuel Type:]],EFTable[],5,FALSE)))</f>
        <v/>
      </c>
      <c r="BO150" s="190" t="str">
        <f>IF(Table2[[#This Row],[Counter Number]]="","",Table2[[#This Row],[Old Bus HC Emissions (tons/yr)]]-Table2[[#This Row],[New Bus HC Emissions (tons/yr)]])</f>
        <v/>
      </c>
      <c r="BP150" s="188" t="str">
        <f>IF(Table2[[#This Row],[Counter Number]]="","",Table2[[#This Row],[Reduction Bus HC Emissions (tons/yr)]]/Table2[[#This Row],[Old Bus HC Emissions (tons/yr)]])</f>
        <v/>
      </c>
      <c r="BQ150" s="193" t="str">
        <f>IF(Table2[[#This Row],[Counter Number]]="","",Table2[[#This Row],[Reduction Bus HC Emissions (tons/yr)]]*Table2[[#This Row],[Remaining Life:]])</f>
        <v/>
      </c>
      <c r="BR150" s="194" t="str">
        <f>IF(Table2[[#This Row],[Counter Number]]="","",IF(Table2[[#This Row],[Lifetime HC Reduction (tons)]]=0,"NA",Table2[[#This Row],[Upgrade Cost Per Unit]]/Table2[[#This Row],[Lifetime HC Reduction (tons)]]))</f>
        <v/>
      </c>
      <c r="BS150" s="191" t="str">
        <f>IF(Table2[[#This Row],[Counter Number]]="","",Table2[[#This Row],[Annual Miles Traveled:]]*VLOOKUP(Table2[[#This Row],[Engine Model Year:]],EF!$A$2:$G$27,6,FALSE))</f>
        <v/>
      </c>
      <c r="BT150" s="173" t="str">
        <f>IF(Table2[[#This Row],[Counter Number]]="","",Table2[[#This Row],[Annual Miles Traveled:]]*IF(Table2[[#This Row],[New Engine Fuel Type:]]="ULSD",VLOOKUP(Table2[[#This Row],[New Engine Model Year:]],EFTable[],6,FALSE),VLOOKUP(Table2[[#This Row],[New Engine Fuel Type:]],EFTable[],6,FALSE)))</f>
        <v/>
      </c>
      <c r="BU150" s="190" t="str">
        <f>IF(Table2[[#This Row],[Counter Number]]="","",Table2[[#This Row],[Old Bus CO Emissions (tons/yr)]]-Table2[[#This Row],[New Bus CO Emissions (tons/yr)]])</f>
        <v/>
      </c>
      <c r="BV150" s="188" t="str">
        <f>IF(Table2[[#This Row],[Counter Number]]="","",Table2[[#This Row],[Reduction Bus CO Emissions (tons/yr)]]/Table2[[#This Row],[Old Bus CO Emissions (tons/yr)]])</f>
        <v/>
      </c>
      <c r="BW150" s="193" t="str">
        <f>IF(Table2[[#This Row],[Counter Number]]="","",Table2[[#This Row],[Reduction Bus CO Emissions (tons/yr)]]*Table2[[#This Row],[Remaining Life:]])</f>
        <v/>
      </c>
      <c r="BX150" s="194" t="str">
        <f>IF(Table2[[#This Row],[Counter Number]]="","",IF(Table2[[#This Row],[Lifetime CO Reduction (tons)]]=0,"NA",Table2[[#This Row],[Upgrade Cost Per Unit]]/Table2[[#This Row],[Lifetime CO Reduction (tons)]]))</f>
        <v/>
      </c>
      <c r="BY150" s="180" t="str">
        <f>IF(Table2[[#This Row],[Counter Number]]="","",Table2[[#This Row],[Old ULSD Used (gal):]]*VLOOKUP(Table2[[#This Row],[Engine Model Year:]],EF!$A$2:$G$27,7,FALSE))</f>
        <v/>
      </c>
      <c r="BZ15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0" s="195" t="str">
        <f>IF(Table2[[#This Row],[Counter Number]]="","",Table2[[#This Row],[Old Bus CO2 Emissions (tons/yr)]]-Table2[[#This Row],[New Bus CO2 Emissions (tons/yr)]])</f>
        <v/>
      </c>
      <c r="CB150" s="188" t="str">
        <f>IF(Table2[[#This Row],[Counter Number]]="","",Table2[[#This Row],[Reduction Bus CO2 Emissions (tons/yr)]]/Table2[[#This Row],[Old Bus CO2 Emissions (tons/yr)]])</f>
        <v/>
      </c>
      <c r="CC150" s="195" t="str">
        <f>IF(Table2[[#This Row],[Counter Number]]="","",Table2[[#This Row],[Reduction Bus CO2 Emissions (tons/yr)]]*Table2[[#This Row],[Remaining Life:]])</f>
        <v/>
      </c>
      <c r="CD150" s="194" t="str">
        <f>IF(Table2[[#This Row],[Counter Number]]="","",IF(Table2[[#This Row],[Lifetime CO2 Reduction (tons)]]=0,"NA",Table2[[#This Row],[Upgrade Cost Per Unit]]/Table2[[#This Row],[Lifetime CO2 Reduction (tons)]]))</f>
        <v/>
      </c>
      <c r="CE150" s="182" t="str">
        <f>IF(Table2[[#This Row],[Counter Number]]="","",IF(Table2[[#This Row],[New ULSD Used (gal):]]="",Table2[[#This Row],[Old ULSD Used (gal):]],Table2[[#This Row],[Old ULSD Used (gal):]]-Table2[[#This Row],[New ULSD Used (gal):]]))</f>
        <v/>
      </c>
      <c r="CF150" s="196" t="str">
        <f>IF(Table2[[#This Row],[Counter Number]]="","",Table2[[#This Row],[Diesel Fuel Reduction (gal/yr)]]/Table2[[#This Row],[Old ULSD Used (gal):]])</f>
        <v/>
      </c>
      <c r="CG150" s="197" t="str">
        <f>IF(Table2[[#This Row],[Counter Number]]="","",Table2[[#This Row],[Diesel Fuel Reduction (gal/yr)]]*Table2[[#This Row],[Remaining Life:]])</f>
        <v/>
      </c>
    </row>
    <row r="151" spans="1:85">
      <c r="A151" s="184" t="str">
        <f>IF(A150&lt;Application!$D$24,A150+1,"")</f>
        <v/>
      </c>
      <c r="B151" s="60" t="str">
        <f>IF(Table2[[#This Row],[Counter Number]]="","",Application!$D$16)</f>
        <v/>
      </c>
      <c r="C151" s="60" t="str">
        <f>IF(Table2[[#This Row],[Counter Number]]="","",Application!$D$14)</f>
        <v/>
      </c>
      <c r="D151" s="60" t="str">
        <f>IF(Table2[[#This Row],[Counter Number]]="","",Table1[[#This Row],[Old Bus Number]])</f>
        <v/>
      </c>
      <c r="E151" s="60" t="str">
        <f>IF(Table2[[#This Row],[Counter Number]]="","",Application!$D$15)</f>
        <v/>
      </c>
      <c r="F151" s="60" t="str">
        <f>IF(Table2[[#This Row],[Counter Number]]="","","On Highway")</f>
        <v/>
      </c>
      <c r="G151" s="60" t="str">
        <f>IF(Table2[[#This Row],[Counter Number]]="","",I151)</f>
        <v/>
      </c>
      <c r="H151" s="60" t="str">
        <f>IF(Table2[[#This Row],[Counter Number]]="","","Georgia")</f>
        <v/>
      </c>
      <c r="I151" s="60" t="str">
        <f>IF(Table2[[#This Row],[Counter Number]]="","",Application!$D$16)</f>
        <v/>
      </c>
      <c r="J151" s="60" t="str">
        <f>IF(Table2[[#This Row],[Counter Number]]="","",Application!$D$21)</f>
        <v/>
      </c>
      <c r="K151" s="60" t="str">
        <f>IF(Table2[[#This Row],[Counter Number]]="","",Application!$J$21)</f>
        <v/>
      </c>
      <c r="L151" s="60" t="str">
        <f>IF(Table2[[#This Row],[Counter Number]]="","","School Bus")</f>
        <v/>
      </c>
      <c r="M151" s="60" t="str">
        <f>IF(Table2[[#This Row],[Counter Number]]="","","School Bus")</f>
        <v/>
      </c>
      <c r="N151" s="60" t="str">
        <f>IF(Table2[[#This Row],[Counter Number]]="","",1)</f>
        <v/>
      </c>
      <c r="O151" s="60" t="str">
        <f>IF(Table2[[#This Row],[Counter Number]]="","",Table1[[#This Row],[Vehicle Identification Number(s):]])</f>
        <v/>
      </c>
      <c r="P151" s="60" t="str">
        <f>IF(Table2[[#This Row],[Counter Number]]="","",Table1[[#This Row],[Old Bus Manufacturer:]])</f>
        <v/>
      </c>
      <c r="Q151" s="60" t="str">
        <f>IF(Table2[[#This Row],[Counter Number]]="","",Table1[[#This Row],[Vehicle Model:]])</f>
        <v/>
      </c>
      <c r="R151" s="165" t="str">
        <f>IF(Table2[[#This Row],[Counter Number]]="","",Table1[[#This Row],[Vehicle Model Year:]])</f>
        <v/>
      </c>
      <c r="S151" s="60" t="str">
        <f>IF(Table2[[#This Row],[Counter Number]]="","",Table1[[#This Row],[Engine Serial Number(s):]])</f>
        <v/>
      </c>
      <c r="T151" s="60" t="str">
        <f>IF(Table2[[#This Row],[Counter Number]]="","",Table1[[#This Row],[Engine Make:]])</f>
        <v/>
      </c>
      <c r="U151" s="60" t="str">
        <f>IF(Table2[[#This Row],[Counter Number]]="","",Table1[[#This Row],[Engine Model:]])</f>
        <v/>
      </c>
      <c r="V151" s="165" t="str">
        <f>IF(Table2[[#This Row],[Counter Number]]="","",Table1[[#This Row],[Engine Model Year:]])</f>
        <v/>
      </c>
      <c r="W151" s="60" t="str">
        <f>IF(Table2[[#This Row],[Counter Number]]="","","NA")</f>
        <v/>
      </c>
      <c r="X151" s="165" t="str">
        <f>IF(Table2[[#This Row],[Counter Number]]="","",Table1[[#This Row],[Engine Horsepower (HP):]])</f>
        <v/>
      </c>
      <c r="Y151" s="165" t="str">
        <f>IF(Table2[[#This Row],[Counter Number]]="","",Table1[[#This Row],[Engine Cylinder Displacement (L):]]&amp;" L")</f>
        <v/>
      </c>
      <c r="Z151" s="165" t="str">
        <f>IF(Table2[[#This Row],[Counter Number]]="","",Table1[[#This Row],[Engine Number of Cylinders:]])</f>
        <v/>
      </c>
      <c r="AA151" s="166" t="str">
        <f>IF(Table2[[#This Row],[Counter Number]]="","",Table1[[#This Row],[Engine Family Name:]])</f>
        <v/>
      </c>
      <c r="AB151" s="60" t="str">
        <f>IF(Table2[[#This Row],[Counter Number]]="","","ULSD")</f>
        <v/>
      </c>
      <c r="AC151" s="167" t="str">
        <f>IF(Table2[[#This Row],[Counter Number]]="","",Table2[[#This Row],[Annual Miles Traveled:]]/Table1[[#This Row],[Old Fuel (mpg)]])</f>
        <v/>
      </c>
      <c r="AD151" s="60" t="str">
        <f>IF(Table2[[#This Row],[Counter Number]]="","","NA")</f>
        <v/>
      </c>
      <c r="AE151" s="168" t="str">
        <f>IF(Table2[[#This Row],[Counter Number]]="","",Table1[[#This Row],[Annual Miles Traveled]])</f>
        <v/>
      </c>
      <c r="AF151" s="169" t="str">
        <f>IF(Table2[[#This Row],[Counter Number]]="","",Table1[[#This Row],[Annual Idling Hours:]])</f>
        <v/>
      </c>
      <c r="AG151" s="60" t="str">
        <f>IF(Table2[[#This Row],[Counter Number]]="","","NA")</f>
        <v/>
      </c>
      <c r="AH151" s="165" t="str">
        <f>IF(Table2[[#This Row],[Counter Number]]="","",IF(Application!$J$25="Set Policy",Table1[[#This Row],[Remaining Life (years)         Set Policy]],Table1[[#This Row],[Remaining Life (years)               Case-by-Case]]))</f>
        <v/>
      </c>
      <c r="AI151" s="165" t="str">
        <f>IF(Table2[[#This Row],[Counter Number]]="","",IF(Application!$J$25="Case-by-Case","NA",Table2[[#This Row],[Fiscal Year of EPA Funds Used:]]+Table2[[#This Row],[Remaining Life:]]))</f>
        <v/>
      </c>
      <c r="AJ151" s="165"/>
      <c r="AK151" s="170" t="str">
        <f>IF(Table2[[#This Row],[Counter Number]]="","",Application!$D$14+1)</f>
        <v/>
      </c>
      <c r="AL151" s="60" t="str">
        <f>IF(Table2[[#This Row],[Counter Number]]="","","Vehicle Replacement")</f>
        <v/>
      </c>
      <c r="AM15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1" s="171" t="str">
        <f>IF(Table2[[#This Row],[Counter Number]]="","",Table1[[#This Row],[Cost of New Bus:]])</f>
        <v/>
      </c>
      <c r="AO151" s="60" t="str">
        <f>IF(Table2[[#This Row],[Counter Number]]="","","NA")</f>
        <v/>
      </c>
      <c r="AP151" s="165" t="str">
        <f>IF(Table2[[#This Row],[Counter Number]]="","",Table1[[#This Row],[New Engine Model Year:]])</f>
        <v/>
      </c>
      <c r="AQ151" s="60" t="str">
        <f>IF(Table2[[#This Row],[Counter Number]]="","","NA")</f>
        <v/>
      </c>
      <c r="AR151" s="165" t="str">
        <f>IF(Table2[[#This Row],[Counter Number]]="","",Table1[[#This Row],[New Engine Horsepower (HP):]])</f>
        <v/>
      </c>
      <c r="AS151" s="60" t="str">
        <f>IF(Table2[[#This Row],[Counter Number]]="","","NA")</f>
        <v/>
      </c>
      <c r="AT151" s="165" t="str">
        <f>IF(Table2[[#This Row],[Counter Number]]="","",Table1[[#This Row],[New Engine Cylinder Displacement (L):]]&amp;" L")</f>
        <v/>
      </c>
      <c r="AU151" s="114" t="str">
        <f>IF(Table2[[#This Row],[Counter Number]]="","",Table1[[#This Row],[New Engine Number of Cylinders:]])</f>
        <v/>
      </c>
      <c r="AV151" s="60" t="str">
        <f>IF(Table2[[#This Row],[Counter Number]]="","",Table1[[#This Row],[New Engine Family Name:]])</f>
        <v/>
      </c>
      <c r="AW15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1" s="60" t="str">
        <f>IF(Table2[[#This Row],[Counter Number]]="","","NA")</f>
        <v/>
      </c>
      <c r="AY151" s="172" t="str">
        <f>IF(Table2[[#This Row],[Counter Number]]="","",IF(Table2[[#This Row],[New Engine Fuel Type:]]="ULSD",Table1[[#This Row],[Annual Miles Traveled]]/Table1[[#This Row],[New Fuel (mpg) if Diesel]],""))</f>
        <v/>
      </c>
      <c r="AZ151" s="60"/>
      <c r="BA151" s="173" t="str">
        <f>IF(Table2[[#This Row],[Counter Number]]="","",Table2[[#This Row],[Annual Miles Traveled:]]*VLOOKUP(Table2[[#This Row],[Engine Model Year:]],EFTable[],3,FALSE))</f>
        <v/>
      </c>
      <c r="BB151" s="173" t="str">
        <f>IF(Table2[[#This Row],[Counter Number]]="","",Table2[[#This Row],[Annual Miles Traveled:]]*IF(Table2[[#This Row],[New Engine Fuel Type:]]="ULSD",VLOOKUP(Table2[[#This Row],[New Engine Model Year:]],EFTable[],3,FALSE),VLOOKUP(Table2[[#This Row],[New Engine Fuel Type:]],EFTable[],3,FALSE)))</f>
        <v/>
      </c>
      <c r="BC151" s="187" t="str">
        <f>IF(Table2[[#This Row],[Counter Number]]="","",Table2[[#This Row],[Old Bus NOx Emissions (tons/yr)]]-Table2[[#This Row],[New Bus NOx Emissions (tons/yr)]])</f>
        <v/>
      </c>
      <c r="BD151" s="188" t="str">
        <f>IF(Table2[[#This Row],[Counter Number]]="","",Table2[[#This Row],[Reduction Bus NOx Emissions (tons/yr)]]/Table2[[#This Row],[Old Bus NOx Emissions (tons/yr)]])</f>
        <v/>
      </c>
      <c r="BE151" s="175" t="str">
        <f>IF(Table2[[#This Row],[Counter Number]]="","",Table2[[#This Row],[Reduction Bus NOx Emissions (tons/yr)]]*Table2[[#This Row],[Remaining Life:]])</f>
        <v/>
      </c>
      <c r="BF151" s="189" t="str">
        <f>IF(Table2[[#This Row],[Counter Number]]="","",IF(Table2[[#This Row],[Lifetime NOx Reduction (tons)]]=0,"NA",Table2[[#This Row],[Upgrade Cost Per Unit]]/Table2[[#This Row],[Lifetime NOx Reduction (tons)]]))</f>
        <v/>
      </c>
      <c r="BG151" s="190" t="str">
        <f>IF(Table2[[#This Row],[Counter Number]]="","",Table2[[#This Row],[Annual Miles Traveled:]]*VLOOKUP(Table2[[#This Row],[Engine Model Year:]],EF!$A$2:$G$27,4,FALSE))</f>
        <v/>
      </c>
      <c r="BH151" s="173" t="str">
        <f>IF(Table2[[#This Row],[Counter Number]]="","",Table2[[#This Row],[Annual Miles Traveled:]]*IF(Table2[[#This Row],[New Engine Fuel Type:]]="ULSD",VLOOKUP(Table2[[#This Row],[New Engine Model Year:]],EFTable[],4,FALSE),VLOOKUP(Table2[[#This Row],[New Engine Fuel Type:]],EFTable[],4,FALSE)))</f>
        <v/>
      </c>
      <c r="BI151" s="191" t="str">
        <f>IF(Table2[[#This Row],[Counter Number]]="","",Table2[[#This Row],[Old Bus PM2.5 Emissions (tons/yr)]]-Table2[[#This Row],[New Bus PM2.5 Emissions (tons/yr)]])</f>
        <v/>
      </c>
      <c r="BJ151" s="192" t="str">
        <f>IF(Table2[[#This Row],[Counter Number]]="","",Table2[[#This Row],[Reduction Bus PM2.5 Emissions (tons/yr)]]/Table2[[#This Row],[Old Bus PM2.5 Emissions (tons/yr)]])</f>
        <v/>
      </c>
      <c r="BK151" s="193" t="str">
        <f>IF(Table2[[#This Row],[Counter Number]]="","",Table2[[#This Row],[Reduction Bus PM2.5 Emissions (tons/yr)]]*Table2[[#This Row],[Remaining Life:]])</f>
        <v/>
      </c>
      <c r="BL151" s="194" t="str">
        <f>IF(Table2[[#This Row],[Counter Number]]="","",IF(Table2[[#This Row],[Lifetime PM2.5 Reduction (tons)]]=0,"NA",Table2[[#This Row],[Upgrade Cost Per Unit]]/Table2[[#This Row],[Lifetime PM2.5 Reduction (tons)]]))</f>
        <v/>
      </c>
      <c r="BM151" s="179" t="str">
        <f>IF(Table2[[#This Row],[Counter Number]]="","",Table2[[#This Row],[Annual Miles Traveled:]]*VLOOKUP(Table2[[#This Row],[Engine Model Year:]],EF!$A$2:$G$40,5,FALSE))</f>
        <v/>
      </c>
      <c r="BN151" s="173" t="str">
        <f>IF(Table2[[#This Row],[Counter Number]]="","",Table2[[#This Row],[Annual Miles Traveled:]]*IF(Table2[[#This Row],[New Engine Fuel Type:]]="ULSD",VLOOKUP(Table2[[#This Row],[New Engine Model Year:]],EFTable[],5,FALSE),VLOOKUP(Table2[[#This Row],[New Engine Fuel Type:]],EFTable[],5,FALSE)))</f>
        <v/>
      </c>
      <c r="BO151" s="190" t="str">
        <f>IF(Table2[[#This Row],[Counter Number]]="","",Table2[[#This Row],[Old Bus HC Emissions (tons/yr)]]-Table2[[#This Row],[New Bus HC Emissions (tons/yr)]])</f>
        <v/>
      </c>
      <c r="BP151" s="188" t="str">
        <f>IF(Table2[[#This Row],[Counter Number]]="","",Table2[[#This Row],[Reduction Bus HC Emissions (tons/yr)]]/Table2[[#This Row],[Old Bus HC Emissions (tons/yr)]])</f>
        <v/>
      </c>
      <c r="BQ151" s="193" t="str">
        <f>IF(Table2[[#This Row],[Counter Number]]="","",Table2[[#This Row],[Reduction Bus HC Emissions (tons/yr)]]*Table2[[#This Row],[Remaining Life:]])</f>
        <v/>
      </c>
      <c r="BR151" s="194" t="str">
        <f>IF(Table2[[#This Row],[Counter Number]]="","",IF(Table2[[#This Row],[Lifetime HC Reduction (tons)]]=0,"NA",Table2[[#This Row],[Upgrade Cost Per Unit]]/Table2[[#This Row],[Lifetime HC Reduction (tons)]]))</f>
        <v/>
      </c>
      <c r="BS151" s="191" t="str">
        <f>IF(Table2[[#This Row],[Counter Number]]="","",Table2[[#This Row],[Annual Miles Traveled:]]*VLOOKUP(Table2[[#This Row],[Engine Model Year:]],EF!$A$2:$G$27,6,FALSE))</f>
        <v/>
      </c>
      <c r="BT151" s="173" t="str">
        <f>IF(Table2[[#This Row],[Counter Number]]="","",Table2[[#This Row],[Annual Miles Traveled:]]*IF(Table2[[#This Row],[New Engine Fuel Type:]]="ULSD",VLOOKUP(Table2[[#This Row],[New Engine Model Year:]],EFTable[],6,FALSE),VLOOKUP(Table2[[#This Row],[New Engine Fuel Type:]],EFTable[],6,FALSE)))</f>
        <v/>
      </c>
      <c r="BU151" s="190" t="str">
        <f>IF(Table2[[#This Row],[Counter Number]]="","",Table2[[#This Row],[Old Bus CO Emissions (tons/yr)]]-Table2[[#This Row],[New Bus CO Emissions (tons/yr)]])</f>
        <v/>
      </c>
      <c r="BV151" s="188" t="str">
        <f>IF(Table2[[#This Row],[Counter Number]]="","",Table2[[#This Row],[Reduction Bus CO Emissions (tons/yr)]]/Table2[[#This Row],[Old Bus CO Emissions (tons/yr)]])</f>
        <v/>
      </c>
      <c r="BW151" s="193" t="str">
        <f>IF(Table2[[#This Row],[Counter Number]]="","",Table2[[#This Row],[Reduction Bus CO Emissions (tons/yr)]]*Table2[[#This Row],[Remaining Life:]])</f>
        <v/>
      </c>
      <c r="BX151" s="194" t="str">
        <f>IF(Table2[[#This Row],[Counter Number]]="","",IF(Table2[[#This Row],[Lifetime CO Reduction (tons)]]=0,"NA",Table2[[#This Row],[Upgrade Cost Per Unit]]/Table2[[#This Row],[Lifetime CO Reduction (tons)]]))</f>
        <v/>
      </c>
      <c r="BY151" s="180" t="str">
        <f>IF(Table2[[#This Row],[Counter Number]]="","",Table2[[#This Row],[Old ULSD Used (gal):]]*VLOOKUP(Table2[[#This Row],[Engine Model Year:]],EF!$A$2:$G$27,7,FALSE))</f>
        <v/>
      </c>
      <c r="BZ15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1" s="195" t="str">
        <f>IF(Table2[[#This Row],[Counter Number]]="","",Table2[[#This Row],[Old Bus CO2 Emissions (tons/yr)]]-Table2[[#This Row],[New Bus CO2 Emissions (tons/yr)]])</f>
        <v/>
      </c>
      <c r="CB151" s="188" t="str">
        <f>IF(Table2[[#This Row],[Counter Number]]="","",Table2[[#This Row],[Reduction Bus CO2 Emissions (tons/yr)]]/Table2[[#This Row],[Old Bus CO2 Emissions (tons/yr)]])</f>
        <v/>
      </c>
      <c r="CC151" s="195" t="str">
        <f>IF(Table2[[#This Row],[Counter Number]]="","",Table2[[#This Row],[Reduction Bus CO2 Emissions (tons/yr)]]*Table2[[#This Row],[Remaining Life:]])</f>
        <v/>
      </c>
      <c r="CD151" s="194" t="str">
        <f>IF(Table2[[#This Row],[Counter Number]]="","",IF(Table2[[#This Row],[Lifetime CO2 Reduction (tons)]]=0,"NA",Table2[[#This Row],[Upgrade Cost Per Unit]]/Table2[[#This Row],[Lifetime CO2 Reduction (tons)]]))</f>
        <v/>
      </c>
      <c r="CE151" s="182" t="str">
        <f>IF(Table2[[#This Row],[Counter Number]]="","",IF(Table2[[#This Row],[New ULSD Used (gal):]]="",Table2[[#This Row],[Old ULSD Used (gal):]],Table2[[#This Row],[Old ULSD Used (gal):]]-Table2[[#This Row],[New ULSD Used (gal):]]))</f>
        <v/>
      </c>
      <c r="CF151" s="196" t="str">
        <f>IF(Table2[[#This Row],[Counter Number]]="","",Table2[[#This Row],[Diesel Fuel Reduction (gal/yr)]]/Table2[[#This Row],[Old ULSD Used (gal):]])</f>
        <v/>
      </c>
      <c r="CG151" s="197" t="str">
        <f>IF(Table2[[#This Row],[Counter Number]]="","",Table2[[#This Row],[Diesel Fuel Reduction (gal/yr)]]*Table2[[#This Row],[Remaining Life:]])</f>
        <v/>
      </c>
    </row>
    <row r="152" spans="1:85">
      <c r="A152" s="184" t="str">
        <f>IF(A151&lt;Application!$D$24,A151+1,"")</f>
        <v/>
      </c>
      <c r="B152" s="60" t="str">
        <f>IF(Table2[[#This Row],[Counter Number]]="","",Application!$D$16)</f>
        <v/>
      </c>
      <c r="C152" s="60" t="str">
        <f>IF(Table2[[#This Row],[Counter Number]]="","",Application!$D$14)</f>
        <v/>
      </c>
      <c r="D152" s="60" t="str">
        <f>IF(Table2[[#This Row],[Counter Number]]="","",Table1[[#This Row],[Old Bus Number]])</f>
        <v/>
      </c>
      <c r="E152" s="60" t="str">
        <f>IF(Table2[[#This Row],[Counter Number]]="","",Application!$D$15)</f>
        <v/>
      </c>
      <c r="F152" s="60" t="str">
        <f>IF(Table2[[#This Row],[Counter Number]]="","","On Highway")</f>
        <v/>
      </c>
      <c r="G152" s="60" t="str">
        <f>IF(Table2[[#This Row],[Counter Number]]="","",I152)</f>
        <v/>
      </c>
      <c r="H152" s="60" t="str">
        <f>IF(Table2[[#This Row],[Counter Number]]="","","Georgia")</f>
        <v/>
      </c>
      <c r="I152" s="60" t="str">
        <f>IF(Table2[[#This Row],[Counter Number]]="","",Application!$D$16)</f>
        <v/>
      </c>
      <c r="J152" s="60" t="str">
        <f>IF(Table2[[#This Row],[Counter Number]]="","",Application!$D$21)</f>
        <v/>
      </c>
      <c r="K152" s="60" t="str">
        <f>IF(Table2[[#This Row],[Counter Number]]="","",Application!$J$21)</f>
        <v/>
      </c>
      <c r="L152" s="60" t="str">
        <f>IF(Table2[[#This Row],[Counter Number]]="","","School Bus")</f>
        <v/>
      </c>
      <c r="M152" s="60" t="str">
        <f>IF(Table2[[#This Row],[Counter Number]]="","","School Bus")</f>
        <v/>
      </c>
      <c r="N152" s="60" t="str">
        <f>IF(Table2[[#This Row],[Counter Number]]="","",1)</f>
        <v/>
      </c>
      <c r="O152" s="60" t="str">
        <f>IF(Table2[[#This Row],[Counter Number]]="","",Table1[[#This Row],[Vehicle Identification Number(s):]])</f>
        <v/>
      </c>
      <c r="P152" s="60" t="str">
        <f>IF(Table2[[#This Row],[Counter Number]]="","",Table1[[#This Row],[Old Bus Manufacturer:]])</f>
        <v/>
      </c>
      <c r="Q152" s="60" t="str">
        <f>IF(Table2[[#This Row],[Counter Number]]="","",Table1[[#This Row],[Vehicle Model:]])</f>
        <v/>
      </c>
      <c r="R152" s="165" t="str">
        <f>IF(Table2[[#This Row],[Counter Number]]="","",Table1[[#This Row],[Vehicle Model Year:]])</f>
        <v/>
      </c>
      <c r="S152" s="60" t="str">
        <f>IF(Table2[[#This Row],[Counter Number]]="","",Table1[[#This Row],[Engine Serial Number(s):]])</f>
        <v/>
      </c>
      <c r="T152" s="60" t="str">
        <f>IF(Table2[[#This Row],[Counter Number]]="","",Table1[[#This Row],[Engine Make:]])</f>
        <v/>
      </c>
      <c r="U152" s="60" t="str">
        <f>IF(Table2[[#This Row],[Counter Number]]="","",Table1[[#This Row],[Engine Model:]])</f>
        <v/>
      </c>
      <c r="V152" s="165" t="str">
        <f>IF(Table2[[#This Row],[Counter Number]]="","",Table1[[#This Row],[Engine Model Year:]])</f>
        <v/>
      </c>
      <c r="W152" s="60" t="str">
        <f>IF(Table2[[#This Row],[Counter Number]]="","","NA")</f>
        <v/>
      </c>
      <c r="X152" s="165" t="str">
        <f>IF(Table2[[#This Row],[Counter Number]]="","",Table1[[#This Row],[Engine Horsepower (HP):]])</f>
        <v/>
      </c>
      <c r="Y152" s="165" t="str">
        <f>IF(Table2[[#This Row],[Counter Number]]="","",Table1[[#This Row],[Engine Cylinder Displacement (L):]]&amp;" L")</f>
        <v/>
      </c>
      <c r="Z152" s="165" t="str">
        <f>IF(Table2[[#This Row],[Counter Number]]="","",Table1[[#This Row],[Engine Number of Cylinders:]])</f>
        <v/>
      </c>
      <c r="AA152" s="166" t="str">
        <f>IF(Table2[[#This Row],[Counter Number]]="","",Table1[[#This Row],[Engine Family Name:]])</f>
        <v/>
      </c>
      <c r="AB152" s="60" t="str">
        <f>IF(Table2[[#This Row],[Counter Number]]="","","ULSD")</f>
        <v/>
      </c>
      <c r="AC152" s="167" t="str">
        <f>IF(Table2[[#This Row],[Counter Number]]="","",Table2[[#This Row],[Annual Miles Traveled:]]/Table1[[#This Row],[Old Fuel (mpg)]])</f>
        <v/>
      </c>
      <c r="AD152" s="60" t="str">
        <f>IF(Table2[[#This Row],[Counter Number]]="","","NA")</f>
        <v/>
      </c>
      <c r="AE152" s="168" t="str">
        <f>IF(Table2[[#This Row],[Counter Number]]="","",Table1[[#This Row],[Annual Miles Traveled]])</f>
        <v/>
      </c>
      <c r="AF152" s="169" t="str">
        <f>IF(Table2[[#This Row],[Counter Number]]="","",Table1[[#This Row],[Annual Idling Hours:]])</f>
        <v/>
      </c>
      <c r="AG152" s="60" t="str">
        <f>IF(Table2[[#This Row],[Counter Number]]="","","NA")</f>
        <v/>
      </c>
      <c r="AH152" s="165" t="str">
        <f>IF(Table2[[#This Row],[Counter Number]]="","",IF(Application!$J$25="Set Policy",Table1[[#This Row],[Remaining Life (years)         Set Policy]],Table1[[#This Row],[Remaining Life (years)               Case-by-Case]]))</f>
        <v/>
      </c>
      <c r="AI152" s="165" t="str">
        <f>IF(Table2[[#This Row],[Counter Number]]="","",IF(Application!$J$25="Case-by-Case","NA",Table2[[#This Row],[Fiscal Year of EPA Funds Used:]]+Table2[[#This Row],[Remaining Life:]]))</f>
        <v/>
      </c>
      <c r="AJ152" s="165"/>
      <c r="AK152" s="170" t="str">
        <f>IF(Table2[[#This Row],[Counter Number]]="","",Application!$D$14+1)</f>
        <v/>
      </c>
      <c r="AL152" s="60" t="str">
        <f>IF(Table2[[#This Row],[Counter Number]]="","","Vehicle Replacement")</f>
        <v/>
      </c>
      <c r="AM15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2" s="171" t="str">
        <f>IF(Table2[[#This Row],[Counter Number]]="","",Table1[[#This Row],[Cost of New Bus:]])</f>
        <v/>
      </c>
      <c r="AO152" s="60" t="str">
        <f>IF(Table2[[#This Row],[Counter Number]]="","","NA")</f>
        <v/>
      </c>
      <c r="AP152" s="165" t="str">
        <f>IF(Table2[[#This Row],[Counter Number]]="","",Table1[[#This Row],[New Engine Model Year:]])</f>
        <v/>
      </c>
      <c r="AQ152" s="60" t="str">
        <f>IF(Table2[[#This Row],[Counter Number]]="","","NA")</f>
        <v/>
      </c>
      <c r="AR152" s="165" t="str">
        <f>IF(Table2[[#This Row],[Counter Number]]="","",Table1[[#This Row],[New Engine Horsepower (HP):]])</f>
        <v/>
      </c>
      <c r="AS152" s="60" t="str">
        <f>IF(Table2[[#This Row],[Counter Number]]="","","NA")</f>
        <v/>
      </c>
      <c r="AT152" s="165" t="str">
        <f>IF(Table2[[#This Row],[Counter Number]]="","",Table1[[#This Row],[New Engine Cylinder Displacement (L):]]&amp;" L")</f>
        <v/>
      </c>
      <c r="AU152" s="114" t="str">
        <f>IF(Table2[[#This Row],[Counter Number]]="","",Table1[[#This Row],[New Engine Number of Cylinders:]])</f>
        <v/>
      </c>
      <c r="AV152" s="60" t="str">
        <f>IF(Table2[[#This Row],[Counter Number]]="","",Table1[[#This Row],[New Engine Family Name:]])</f>
        <v/>
      </c>
      <c r="AW15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2" s="60" t="str">
        <f>IF(Table2[[#This Row],[Counter Number]]="","","NA")</f>
        <v/>
      </c>
      <c r="AY152" s="172" t="str">
        <f>IF(Table2[[#This Row],[Counter Number]]="","",IF(Table2[[#This Row],[New Engine Fuel Type:]]="ULSD",Table1[[#This Row],[Annual Miles Traveled]]/Table1[[#This Row],[New Fuel (mpg) if Diesel]],""))</f>
        <v/>
      </c>
      <c r="AZ152" s="60"/>
      <c r="BA152" s="173" t="str">
        <f>IF(Table2[[#This Row],[Counter Number]]="","",Table2[[#This Row],[Annual Miles Traveled:]]*VLOOKUP(Table2[[#This Row],[Engine Model Year:]],EFTable[],3,FALSE))</f>
        <v/>
      </c>
      <c r="BB152" s="173" t="str">
        <f>IF(Table2[[#This Row],[Counter Number]]="","",Table2[[#This Row],[Annual Miles Traveled:]]*IF(Table2[[#This Row],[New Engine Fuel Type:]]="ULSD",VLOOKUP(Table2[[#This Row],[New Engine Model Year:]],EFTable[],3,FALSE),VLOOKUP(Table2[[#This Row],[New Engine Fuel Type:]],EFTable[],3,FALSE)))</f>
        <v/>
      </c>
      <c r="BC152" s="187" t="str">
        <f>IF(Table2[[#This Row],[Counter Number]]="","",Table2[[#This Row],[Old Bus NOx Emissions (tons/yr)]]-Table2[[#This Row],[New Bus NOx Emissions (tons/yr)]])</f>
        <v/>
      </c>
      <c r="BD152" s="188" t="str">
        <f>IF(Table2[[#This Row],[Counter Number]]="","",Table2[[#This Row],[Reduction Bus NOx Emissions (tons/yr)]]/Table2[[#This Row],[Old Bus NOx Emissions (tons/yr)]])</f>
        <v/>
      </c>
      <c r="BE152" s="175" t="str">
        <f>IF(Table2[[#This Row],[Counter Number]]="","",Table2[[#This Row],[Reduction Bus NOx Emissions (tons/yr)]]*Table2[[#This Row],[Remaining Life:]])</f>
        <v/>
      </c>
      <c r="BF152" s="189" t="str">
        <f>IF(Table2[[#This Row],[Counter Number]]="","",IF(Table2[[#This Row],[Lifetime NOx Reduction (tons)]]=0,"NA",Table2[[#This Row],[Upgrade Cost Per Unit]]/Table2[[#This Row],[Lifetime NOx Reduction (tons)]]))</f>
        <v/>
      </c>
      <c r="BG152" s="190" t="str">
        <f>IF(Table2[[#This Row],[Counter Number]]="","",Table2[[#This Row],[Annual Miles Traveled:]]*VLOOKUP(Table2[[#This Row],[Engine Model Year:]],EF!$A$2:$G$27,4,FALSE))</f>
        <v/>
      </c>
      <c r="BH152" s="173" t="str">
        <f>IF(Table2[[#This Row],[Counter Number]]="","",Table2[[#This Row],[Annual Miles Traveled:]]*IF(Table2[[#This Row],[New Engine Fuel Type:]]="ULSD",VLOOKUP(Table2[[#This Row],[New Engine Model Year:]],EFTable[],4,FALSE),VLOOKUP(Table2[[#This Row],[New Engine Fuel Type:]],EFTable[],4,FALSE)))</f>
        <v/>
      </c>
      <c r="BI152" s="191" t="str">
        <f>IF(Table2[[#This Row],[Counter Number]]="","",Table2[[#This Row],[Old Bus PM2.5 Emissions (tons/yr)]]-Table2[[#This Row],[New Bus PM2.5 Emissions (tons/yr)]])</f>
        <v/>
      </c>
      <c r="BJ152" s="192" t="str">
        <f>IF(Table2[[#This Row],[Counter Number]]="","",Table2[[#This Row],[Reduction Bus PM2.5 Emissions (tons/yr)]]/Table2[[#This Row],[Old Bus PM2.5 Emissions (tons/yr)]])</f>
        <v/>
      </c>
      <c r="BK152" s="193" t="str">
        <f>IF(Table2[[#This Row],[Counter Number]]="","",Table2[[#This Row],[Reduction Bus PM2.5 Emissions (tons/yr)]]*Table2[[#This Row],[Remaining Life:]])</f>
        <v/>
      </c>
      <c r="BL152" s="194" t="str">
        <f>IF(Table2[[#This Row],[Counter Number]]="","",IF(Table2[[#This Row],[Lifetime PM2.5 Reduction (tons)]]=0,"NA",Table2[[#This Row],[Upgrade Cost Per Unit]]/Table2[[#This Row],[Lifetime PM2.5 Reduction (tons)]]))</f>
        <v/>
      </c>
      <c r="BM152" s="179" t="str">
        <f>IF(Table2[[#This Row],[Counter Number]]="","",Table2[[#This Row],[Annual Miles Traveled:]]*VLOOKUP(Table2[[#This Row],[Engine Model Year:]],EF!$A$2:$G$40,5,FALSE))</f>
        <v/>
      </c>
      <c r="BN152" s="173" t="str">
        <f>IF(Table2[[#This Row],[Counter Number]]="","",Table2[[#This Row],[Annual Miles Traveled:]]*IF(Table2[[#This Row],[New Engine Fuel Type:]]="ULSD",VLOOKUP(Table2[[#This Row],[New Engine Model Year:]],EFTable[],5,FALSE),VLOOKUP(Table2[[#This Row],[New Engine Fuel Type:]],EFTable[],5,FALSE)))</f>
        <v/>
      </c>
      <c r="BO152" s="190" t="str">
        <f>IF(Table2[[#This Row],[Counter Number]]="","",Table2[[#This Row],[Old Bus HC Emissions (tons/yr)]]-Table2[[#This Row],[New Bus HC Emissions (tons/yr)]])</f>
        <v/>
      </c>
      <c r="BP152" s="188" t="str">
        <f>IF(Table2[[#This Row],[Counter Number]]="","",Table2[[#This Row],[Reduction Bus HC Emissions (tons/yr)]]/Table2[[#This Row],[Old Bus HC Emissions (tons/yr)]])</f>
        <v/>
      </c>
      <c r="BQ152" s="193" t="str">
        <f>IF(Table2[[#This Row],[Counter Number]]="","",Table2[[#This Row],[Reduction Bus HC Emissions (tons/yr)]]*Table2[[#This Row],[Remaining Life:]])</f>
        <v/>
      </c>
      <c r="BR152" s="194" t="str">
        <f>IF(Table2[[#This Row],[Counter Number]]="","",IF(Table2[[#This Row],[Lifetime HC Reduction (tons)]]=0,"NA",Table2[[#This Row],[Upgrade Cost Per Unit]]/Table2[[#This Row],[Lifetime HC Reduction (tons)]]))</f>
        <v/>
      </c>
      <c r="BS152" s="191" t="str">
        <f>IF(Table2[[#This Row],[Counter Number]]="","",Table2[[#This Row],[Annual Miles Traveled:]]*VLOOKUP(Table2[[#This Row],[Engine Model Year:]],EF!$A$2:$G$27,6,FALSE))</f>
        <v/>
      </c>
      <c r="BT152" s="173" t="str">
        <f>IF(Table2[[#This Row],[Counter Number]]="","",Table2[[#This Row],[Annual Miles Traveled:]]*IF(Table2[[#This Row],[New Engine Fuel Type:]]="ULSD",VLOOKUP(Table2[[#This Row],[New Engine Model Year:]],EFTable[],6,FALSE),VLOOKUP(Table2[[#This Row],[New Engine Fuel Type:]],EFTable[],6,FALSE)))</f>
        <v/>
      </c>
      <c r="BU152" s="190" t="str">
        <f>IF(Table2[[#This Row],[Counter Number]]="","",Table2[[#This Row],[Old Bus CO Emissions (tons/yr)]]-Table2[[#This Row],[New Bus CO Emissions (tons/yr)]])</f>
        <v/>
      </c>
      <c r="BV152" s="188" t="str">
        <f>IF(Table2[[#This Row],[Counter Number]]="","",Table2[[#This Row],[Reduction Bus CO Emissions (tons/yr)]]/Table2[[#This Row],[Old Bus CO Emissions (tons/yr)]])</f>
        <v/>
      </c>
      <c r="BW152" s="193" t="str">
        <f>IF(Table2[[#This Row],[Counter Number]]="","",Table2[[#This Row],[Reduction Bus CO Emissions (tons/yr)]]*Table2[[#This Row],[Remaining Life:]])</f>
        <v/>
      </c>
      <c r="BX152" s="194" t="str">
        <f>IF(Table2[[#This Row],[Counter Number]]="","",IF(Table2[[#This Row],[Lifetime CO Reduction (tons)]]=0,"NA",Table2[[#This Row],[Upgrade Cost Per Unit]]/Table2[[#This Row],[Lifetime CO Reduction (tons)]]))</f>
        <v/>
      </c>
      <c r="BY152" s="180" t="str">
        <f>IF(Table2[[#This Row],[Counter Number]]="","",Table2[[#This Row],[Old ULSD Used (gal):]]*VLOOKUP(Table2[[#This Row],[Engine Model Year:]],EF!$A$2:$G$27,7,FALSE))</f>
        <v/>
      </c>
      <c r="BZ15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2" s="195" t="str">
        <f>IF(Table2[[#This Row],[Counter Number]]="","",Table2[[#This Row],[Old Bus CO2 Emissions (tons/yr)]]-Table2[[#This Row],[New Bus CO2 Emissions (tons/yr)]])</f>
        <v/>
      </c>
      <c r="CB152" s="188" t="str">
        <f>IF(Table2[[#This Row],[Counter Number]]="","",Table2[[#This Row],[Reduction Bus CO2 Emissions (tons/yr)]]/Table2[[#This Row],[Old Bus CO2 Emissions (tons/yr)]])</f>
        <v/>
      </c>
      <c r="CC152" s="195" t="str">
        <f>IF(Table2[[#This Row],[Counter Number]]="","",Table2[[#This Row],[Reduction Bus CO2 Emissions (tons/yr)]]*Table2[[#This Row],[Remaining Life:]])</f>
        <v/>
      </c>
      <c r="CD152" s="194" t="str">
        <f>IF(Table2[[#This Row],[Counter Number]]="","",IF(Table2[[#This Row],[Lifetime CO2 Reduction (tons)]]=0,"NA",Table2[[#This Row],[Upgrade Cost Per Unit]]/Table2[[#This Row],[Lifetime CO2 Reduction (tons)]]))</f>
        <v/>
      </c>
      <c r="CE152" s="182" t="str">
        <f>IF(Table2[[#This Row],[Counter Number]]="","",IF(Table2[[#This Row],[New ULSD Used (gal):]]="",Table2[[#This Row],[Old ULSD Used (gal):]],Table2[[#This Row],[Old ULSD Used (gal):]]-Table2[[#This Row],[New ULSD Used (gal):]]))</f>
        <v/>
      </c>
      <c r="CF152" s="196" t="str">
        <f>IF(Table2[[#This Row],[Counter Number]]="","",Table2[[#This Row],[Diesel Fuel Reduction (gal/yr)]]/Table2[[#This Row],[Old ULSD Used (gal):]])</f>
        <v/>
      </c>
      <c r="CG152" s="197" t="str">
        <f>IF(Table2[[#This Row],[Counter Number]]="","",Table2[[#This Row],[Diesel Fuel Reduction (gal/yr)]]*Table2[[#This Row],[Remaining Life:]])</f>
        <v/>
      </c>
    </row>
    <row r="153" spans="1:85">
      <c r="A153" s="184" t="str">
        <f>IF(A152&lt;Application!$D$24,A152+1,"")</f>
        <v/>
      </c>
      <c r="B153" s="60" t="str">
        <f>IF(Table2[[#This Row],[Counter Number]]="","",Application!$D$16)</f>
        <v/>
      </c>
      <c r="C153" s="60" t="str">
        <f>IF(Table2[[#This Row],[Counter Number]]="","",Application!$D$14)</f>
        <v/>
      </c>
      <c r="D153" s="60" t="str">
        <f>IF(Table2[[#This Row],[Counter Number]]="","",Table1[[#This Row],[Old Bus Number]])</f>
        <v/>
      </c>
      <c r="E153" s="60" t="str">
        <f>IF(Table2[[#This Row],[Counter Number]]="","",Application!$D$15)</f>
        <v/>
      </c>
      <c r="F153" s="60" t="str">
        <f>IF(Table2[[#This Row],[Counter Number]]="","","On Highway")</f>
        <v/>
      </c>
      <c r="G153" s="60" t="str">
        <f>IF(Table2[[#This Row],[Counter Number]]="","",I153)</f>
        <v/>
      </c>
      <c r="H153" s="60" t="str">
        <f>IF(Table2[[#This Row],[Counter Number]]="","","Georgia")</f>
        <v/>
      </c>
      <c r="I153" s="60" t="str">
        <f>IF(Table2[[#This Row],[Counter Number]]="","",Application!$D$16)</f>
        <v/>
      </c>
      <c r="J153" s="60" t="str">
        <f>IF(Table2[[#This Row],[Counter Number]]="","",Application!$D$21)</f>
        <v/>
      </c>
      <c r="K153" s="60" t="str">
        <f>IF(Table2[[#This Row],[Counter Number]]="","",Application!$J$21)</f>
        <v/>
      </c>
      <c r="L153" s="60" t="str">
        <f>IF(Table2[[#This Row],[Counter Number]]="","","School Bus")</f>
        <v/>
      </c>
      <c r="M153" s="60" t="str">
        <f>IF(Table2[[#This Row],[Counter Number]]="","","School Bus")</f>
        <v/>
      </c>
      <c r="N153" s="60" t="str">
        <f>IF(Table2[[#This Row],[Counter Number]]="","",1)</f>
        <v/>
      </c>
      <c r="O153" s="60" t="str">
        <f>IF(Table2[[#This Row],[Counter Number]]="","",Table1[[#This Row],[Vehicle Identification Number(s):]])</f>
        <v/>
      </c>
      <c r="P153" s="60" t="str">
        <f>IF(Table2[[#This Row],[Counter Number]]="","",Table1[[#This Row],[Old Bus Manufacturer:]])</f>
        <v/>
      </c>
      <c r="Q153" s="60" t="str">
        <f>IF(Table2[[#This Row],[Counter Number]]="","",Table1[[#This Row],[Vehicle Model:]])</f>
        <v/>
      </c>
      <c r="R153" s="165" t="str">
        <f>IF(Table2[[#This Row],[Counter Number]]="","",Table1[[#This Row],[Vehicle Model Year:]])</f>
        <v/>
      </c>
      <c r="S153" s="60" t="str">
        <f>IF(Table2[[#This Row],[Counter Number]]="","",Table1[[#This Row],[Engine Serial Number(s):]])</f>
        <v/>
      </c>
      <c r="T153" s="60" t="str">
        <f>IF(Table2[[#This Row],[Counter Number]]="","",Table1[[#This Row],[Engine Make:]])</f>
        <v/>
      </c>
      <c r="U153" s="60" t="str">
        <f>IF(Table2[[#This Row],[Counter Number]]="","",Table1[[#This Row],[Engine Model:]])</f>
        <v/>
      </c>
      <c r="V153" s="165" t="str">
        <f>IF(Table2[[#This Row],[Counter Number]]="","",Table1[[#This Row],[Engine Model Year:]])</f>
        <v/>
      </c>
      <c r="W153" s="60" t="str">
        <f>IF(Table2[[#This Row],[Counter Number]]="","","NA")</f>
        <v/>
      </c>
      <c r="X153" s="165" t="str">
        <f>IF(Table2[[#This Row],[Counter Number]]="","",Table1[[#This Row],[Engine Horsepower (HP):]])</f>
        <v/>
      </c>
      <c r="Y153" s="165" t="str">
        <f>IF(Table2[[#This Row],[Counter Number]]="","",Table1[[#This Row],[Engine Cylinder Displacement (L):]]&amp;" L")</f>
        <v/>
      </c>
      <c r="Z153" s="165" t="str">
        <f>IF(Table2[[#This Row],[Counter Number]]="","",Table1[[#This Row],[Engine Number of Cylinders:]])</f>
        <v/>
      </c>
      <c r="AA153" s="166" t="str">
        <f>IF(Table2[[#This Row],[Counter Number]]="","",Table1[[#This Row],[Engine Family Name:]])</f>
        <v/>
      </c>
      <c r="AB153" s="60" t="str">
        <f>IF(Table2[[#This Row],[Counter Number]]="","","ULSD")</f>
        <v/>
      </c>
      <c r="AC153" s="167" t="str">
        <f>IF(Table2[[#This Row],[Counter Number]]="","",Table2[[#This Row],[Annual Miles Traveled:]]/Table1[[#This Row],[Old Fuel (mpg)]])</f>
        <v/>
      </c>
      <c r="AD153" s="60" t="str">
        <f>IF(Table2[[#This Row],[Counter Number]]="","","NA")</f>
        <v/>
      </c>
      <c r="AE153" s="168" t="str">
        <f>IF(Table2[[#This Row],[Counter Number]]="","",Table1[[#This Row],[Annual Miles Traveled]])</f>
        <v/>
      </c>
      <c r="AF153" s="169" t="str">
        <f>IF(Table2[[#This Row],[Counter Number]]="","",Table1[[#This Row],[Annual Idling Hours:]])</f>
        <v/>
      </c>
      <c r="AG153" s="60" t="str">
        <f>IF(Table2[[#This Row],[Counter Number]]="","","NA")</f>
        <v/>
      </c>
      <c r="AH153" s="165" t="str">
        <f>IF(Table2[[#This Row],[Counter Number]]="","",IF(Application!$J$25="Set Policy",Table1[[#This Row],[Remaining Life (years)         Set Policy]],Table1[[#This Row],[Remaining Life (years)               Case-by-Case]]))</f>
        <v/>
      </c>
      <c r="AI153" s="165" t="str">
        <f>IF(Table2[[#This Row],[Counter Number]]="","",IF(Application!$J$25="Case-by-Case","NA",Table2[[#This Row],[Fiscal Year of EPA Funds Used:]]+Table2[[#This Row],[Remaining Life:]]))</f>
        <v/>
      </c>
      <c r="AJ153" s="165"/>
      <c r="AK153" s="170" t="str">
        <f>IF(Table2[[#This Row],[Counter Number]]="","",Application!$D$14+1)</f>
        <v/>
      </c>
      <c r="AL153" s="60" t="str">
        <f>IF(Table2[[#This Row],[Counter Number]]="","","Vehicle Replacement")</f>
        <v/>
      </c>
      <c r="AM15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3" s="171" t="str">
        <f>IF(Table2[[#This Row],[Counter Number]]="","",Table1[[#This Row],[Cost of New Bus:]])</f>
        <v/>
      </c>
      <c r="AO153" s="60" t="str">
        <f>IF(Table2[[#This Row],[Counter Number]]="","","NA")</f>
        <v/>
      </c>
      <c r="AP153" s="165" t="str">
        <f>IF(Table2[[#This Row],[Counter Number]]="","",Table1[[#This Row],[New Engine Model Year:]])</f>
        <v/>
      </c>
      <c r="AQ153" s="60" t="str">
        <f>IF(Table2[[#This Row],[Counter Number]]="","","NA")</f>
        <v/>
      </c>
      <c r="AR153" s="165" t="str">
        <f>IF(Table2[[#This Row],[Counter Number]]="","",Table1[[#This Row],[New Engine Horsepower (HP):]])</f>
        <v/>
      </c>
      <c r="AS153" s="60" t="str">
        <f>IF(Table2[[#This Row],[Counter Number]]="","","NA")</f>
        <v/>
      </c>
      <c r="AT153" s="165" t="str">
        <f>IF(Table2[[#This Row],[Counter Number]]="","",Table1[[#This Row],[New Engine Cylinder Displacement (L):]]&amp;" L")</f>
        <v/>
      </c>
      <c r="AU153" s="114" t="str">
        <f>IF(Table2[[#This Row],[Counter Number]]="","",Table1[[#This Row],[New Engine Number of Cylinders:]])</f>
        <v/>
      </c>
      <c r="AV153" s="60" t="str">
        <f>IF(Table2[[#This Row],[Counter Number]]="","",Table1[[#This Row],[New Engine Family Name:]])</f>
        <v/>
      </c>
      <c r="AW15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3" s="60" t="str">
        <f>IF(Table2[[#This Row],[Counter Number]]="","","NA")</f>
        <v/>
      </c>
      <c r="AY153" s="172" t="str">
        <f>IF(Table2[[#This Row],[Counter Number]]="","",IF(Table2[[#This Row],[New Engine Fuel Type:]]="ULSD",Table1[[#This Row],[Annual Miles Traveled]]/Table1[[#This Row],[New Fuel (mpg) if Diesel]],""))</f>
        <v/>
      </c>
      <c r="AZ153" s="60"/>
      <c r="BA153" s="173" t="str">
        <f>IF(Table2[[#This Row],[Counter Number]]="","",Table2[[#This Row],[Annual Miles Traveled:]]*VLOOKUP(Table2[[#This Row],[Engine Model Year:]],EFTable[],3,FALSE))</f>
        <v/>
      </c>
      <c r="BB153" s="173" t="str">
        <f>IF(Table2[[#This Row],[Counter Number]]="","",Table2[[#This Row],[Annual Miles Traveled:]]*IF(Table2[[#This Row],[New Engine Fuel Type:]]="ULSD",VLOOKUP(Table2[[#This Row],[New Engine Model Year:]],EFTable[],3,FALSE),VLOOKUP(Table2[[#This Row],[New Engine Fuel Type:]],EFTable[],3,FALSE)))</f>
        <v/>
      </c>
      <c r="BC153" s="187" t="str">
        <f>IF(Table2[[#This Row],[Counter Number]]="","",Table2[[#This Row],[Old Bus NOx Emissions (tons/yr)]]-Table2[[#This Row],[New Bus NOx Emissions (tons/yr)]])</f>
        <v/>
      </c>
      <c r="BD153" s="188" t="str">
        <f>IF(Table2[[#This Row],[Counter Number]]="","",Table2[[#This Row],[Reduction Bus NOx Emissions (tons/yr)]]/Table2[[#This Row],[Old Bus NOx Emissions (tons/yr)]])</f>
        <v/>
      </c>
      <c r="BE153" s="175" t="str">
        <f>IF(Table2[[#This Row],[Counter Number]]="","",Table2[[#This Row],[Reduction Bus NOx Emissions (tons/yr)]]*Table2[[#This Row],[Remaining Life:]])</f>
        <v/>
      </c>
      <c r="BF153" s="189" t="str">
        <f>IF(Table2[[#This Row],[Counter Number]]="","",IF(Table2[[#This Row],[Lifetime NOx Reduction (tons)]]=0,"NA",Table2[[#This Row],[Upgrade Cost Per Unit]]/Table2[[#This Row],[Lifetime NOx Reduction (tons)]]))</f>
        <v/>
      </c>
      <c r="BG153" s="190" t="str">
        <f>IF(Table2[[#This Row],[Counter Number]]="","",Table2[[#This Row],[Annual Miles Traveled:]]*VLOOKUP(Table2[[#This Row],[Engine Model Year:]],EF!$A$2:$G$27,4,FALSE))</f>
        <v/>
      </c>
      <c r="BH153" s="173" t="str">
        <f>IF(Table2[[#This Row],[Counter Number]]="","",Table2[[#This Row],[Annual Miles Traveled:]]*IF(Table2[[#This Row],[New Engine Fuel Type:]]="ULSD",VLOOKUP(Table2[[#This Row],[New Engine Model Year:]],EFTable[],4,FALSE),VLOOKUP(Table2[[#This Row],[New Engine Fuel Type:]],EFTable[],4,FALSE)))</f>
        <v/>
      </c>
      <c r="BI153" s="191" t="str">
        <f>IF(Table2[[#This Row],[Counter Number]]="","",Table2[[#This Row],[Old Bus PM2.5 Emissions (tons/yr)]]-Table2[[#This Row],[New Bus PM2.5 Emissions (tons/yr)]])</f>
        <v/>
      </c>
      <c r="BJ153" s="192" t="str">
        <f>IF(Table2[[#This Row],[Counter Number]]="","",Table2[[#This Row],[Reduction Bus PM2.5 Emissions (tons/yr)]]/Table2[[#This Row],[Old Bus PM2.5 Emissions (tons/yr)]])</f>
        <v/>
      </c>
      <c r="BK153" s="193" t="str">
        <f>IF(Table2[[#This Row],[Counter Number]]="","",Table2[[#This Row],[Reduction Bus PM2.5 Emissions (tons/yr)]]*Table2[[#This Row],[Remaining Life:]])</f>
        <v/>
      </c>
      <c r="BL153" s="194" t="str">
        <f>IF(Table2[[#This Row],[Counter Number]]="","",IF(Table2[[#This Row],[Lifetime PM2.5 Reduction (tons)]]=0,"NA",Table2[[#This Row],[Upgrade Cost Per Unit]]/Table2[[#This Row],[Lifetime PM2.5 Reduction (tons)]]))</f>
        <v/>
      </c>
      <c r="BM153" s="179" t="str">
        <f>IF(Table2[[#This Row],[Counter Number]]="","",Table2[[#This Row],[Annual Miles Traveled:]]*VLOOKUP(Table2[[#This Row],[Engine Model Year:]],EF!$A$2:$G$40,5,FALSE))</f>
        <v/>
      </c>
      <c r="BN153" s="173" t="str">
        <f>IF(Table2[[#This Row],[Counter Number]]="","",Table2[[#This Row],[Annual Miles Traveled:]]*IF(Table2[[#This Row],[New Engine Fuel Type:]]="ULSD",VLOOKUP(Table2[[#This Row],[New Engine Model Year:]],EFTable[],5,FALSE),VLOOKUP(Table2[[#This Row],[New Engine Fuel Type:]],EFTable[],5,FALSE)))</f>
        <v/>
      </c>
      <c r="BO153" s="190" t="str">
        <f>IF(Table2[[#This Row],[Counter Number]]="","",Table2[[#This Row],[Old Bus HC Emissions (tons/yr)]]-Table2[[#This Row],[New Bus HC Emissions (tons/yr)]])</f>
        <v/>
      </c>
      <c r="BP153" s="188" t="str">
        <f>IF(Table2[[#This Row],[Counter Number]]="","",Table2[[#This Row],[Reduction Bus HC Emissions (tons/yr)]]/Table2[[#This Row],[Old Bus HC Emissions (tons/yr)]])</f>
        <v/>
      </c>
      <c r="BQ153" s="193" t="str">
        <f>IF(Table2[[#This Row],[Counter Number]]="","",Table2[[#This Row],[Reduction Bus HC Emissions (tons/yr)]]*Table2[[#This Row],[Remaining Life:]])</f>
        <v/>
      </c>
      <c r="BR153" s="194" t="str">
        <f>IF(Table2[[#This Row],[Counter Number]]="","",IF(Table2[[#This Row],[Lifetime HC Reduction (tons)]]=0,"NA",Table2[[#This Row],[Upgrade Cost Per Unit]]/Table2[[#This Row],[Lifetime HC Reduction (tons)]]))</f>
        <v/>
      </c>
      <c r="BS153" s="191" t="str">
        <f>IF(Table2[[#This Row],[Counter Number]]="","",Table2[[#This Row],[Annual Miles Traveled:]]*VLOOKUP(Table2[[#This Row],[Engine Model Year:]],EF!$A$2:$G$27,6,FALSE))</f>
        <v/>
      </c>
      <c r="BT153" s="173" t="str">
        <f>IF(Table2[[#This Row],[Counter Number]]="","",Table2[[#This Row],[Annual Miles Traveled:]]*IF(Table2[[#This Row],[New Engine Fuel Type:]]="ULSD",VLOOKUP(Table2[[#This Row],[New Engine Model Year:]],EFTable[],6,FALSE),VLOOKUP(Table2[[#This Row],[New Engine Fuel Type:]],EFTable[],6,FALSE)))</f>
        <v/>
      </c>
      <c r="BU153" s="190" t="str">
        <f>IF(Table2[[#This Row],[Counter Number]]="","",Table2[[#This Row],[Old Bus CO Emissions (tons/yr)]]-Table2[[#This Row],[New Bus CO Emissions (tons/yr)]])</f>
        <v/>
      </c>
      <c r="BV153" s="188" t="str">
        <f>IF(Table2[[#This Row],[Counter Number]]="","",Table2[[#This Row],[Reduction Bus CO Emissions (tons/yr)]]/Table2[[#This Row],[Old Bus CO Emissions (tons/yr)]])</f>
        <v/>
      </c>
      <c r="BW153" s="193" t="str">
        <f>IF(Table2[[#This Row],[Counter Number]]="","",Table2[[#This Row],[Reduction Bus CO Emissions (tons/yr)]]*Table2[[#This Row],[Remaining Life:]])</f>
        <v/>
      </c>
      <c r="BX153" s="194" t="str">
        <f>IF(Table2[[#This Row],[Counter Number]]="","",IF(Table2[[#This Row],[Lifetime CO Reduction (tons)]]=0,"NA",Table2[[#This Row],[Upgrade Cost Per Unit]]/Table2[[#This Row],[Lifetime CO Reduction (tons)]]))</f>
        <v/>
      </c>
      <c r="BY153" s="180" t="str">
        <f>IF(Table2[[#This Row],[Counter Number]]="","",Table2[[#This Row],[Old ULSD Used (gal):]]*VLOOKUP(Table2[[#This Row],[Engine Model Year:]],EF!$A$2:$G$27,7,FALSE))</f>
        <v/>
      </c>
      <c r="BZ15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3" s="195" t="str">
        <f>IF(Table2[[#This Row],[Counter Number]]="","",Table2[[#This Row],[Old Bus CO2 Emissions (tons/yr)]]-Table2[[#This Row],[New Bus CO2 Emissions (tons/yr)]])</f>
        <v/>
      </c>
      <c r="CB153" s="188" t="str">
        <f>IF(Table2[[#This Row],[Counter Number]]="","",Table2[[#This Row],[Reduction Bus CO2 Emissions (tons/yr)]]/Table2[[#This Row],[Old Bus CO2 Emissions (tons/yr)]])</f>
        <v/>
      </c>
      <c r="CC153" s="195" t="str">
        <f>IF(Table2[[#This Row],[Counter Number]]="","",Table2[[#This Row],[Reduction Bus CO2 Emissions (tons/yr)]]*Table2[[#This Row],[Remaining Life:]])</f>
        <v/>
      </c>
      <c r="CD153" s="194" t="str">
        <f>IF(Table2[[#This Row],[Counter Number]]="","",IF(Table2[[#This Row],[Lifetime CO2 Reduction (tons)]]=0,"NA",Table2[[#This Row],[Upgrade Cost Per Unit]]/Table2[[#This Row],[Lifetime CO2 Reduction (tons)]]))</f>
        <v/>
      </c>
      <c r="CE153" s="182" t="str">
        <f>IF(Table2[[#This Row],[Counter Number]]="","",IF(Table2[[#This Row],[New ULSD Used (gal):]]="",Table2[[#This Row],[Old ULSD Used (gal):]],Table2[[#This Row],[Old ULSD Used (gal):]]-Table2[[#This Row],[New ULSD Used (gal):]]))</f>
        <v/>
      </c>
      <c r="CF153" s="196" t="str">
        <f>IF(Table2[[#This Row],[Counter Number]]="","",Table2[[#This Row],[Diesel Fuel Reduction (gal/yr)]]/Table2[[#This Row],[Old ULSD Used (gal):]])</f>
        <v/>
      </c>
      <c r="CG153" s="197" t="str">
        <f>IF(Table2[[#This Row],[Counter Number]]="","",Table2[[#This Row],[Diesel Fuel Reduction (gal/yr)]]*Table2[[#This Row],[Remaining Life:]])</f>
        <v/>
      </c>
    </row>
    <row r="154" spans="1:85">
      <c r="A154" s="184" t="str">
        <f>IF(A153&lt;Application!$D$24,A153+1,"")</f>
        <v/>
      </c>
      <c r="B154" s="60" t="str">
        <f>IF(Table2[[#This Row],[Counter Number]]="","",Application!$D$16)</f>
        <v/>
      </c>
      <c r="C154" s="60" t="str">
        <f>IF(Table2[[#This Row],[Counter Number]]="","",Application!$D$14)</f>
        <v/>
      </c>
      <c r="D154" s="60" t="str">
        <f>IF(Table2[[#This Row],[Counter Number]]="","",Table1[[#This Row],[Old Bus Number]])</f>
        <v/>
      </c>
      <c r="E154" s="60" t="str">
        <f>IF(Table2[[#This Row],[Counter Number]]="","",Application!$D$15)</f>
        <v/>
      </c>
      <c r="F154" s="60" t="str">
        <f>IF(Table2[[#This Row],[Counter Number]]="","","On Highway")</f>
        <v/>
      </c>
      <c r="G154" s="60" t="str">
        <f>IF(Table2[[#This Row],[Counter Number]]="","",I154)</f>
        <v/>
      </c>
      <c r="H154" s="60" t="str">
        <f>IF(Table2[[#This Row],[Counter Number]]="","","Georgia")</f>
        <v/>
      </c>
      <c r="I154" s="60" t="str">
        <f>IF(Table2[[#This Row],[Counter Number]]="","",Application!$D$16)</f>
        <v/>
      </c>
      <c r="J154" s="60" t="str">
        <f>IF(Table2[[#This Row],[Counter Number]]="","",Application!$D$21)</f>
        <v/>
      </c>
      <c r="K154" s="60" t="str">
        <f>IF(Table2[[#This Row],[Counter Number]]="","",Application!$J$21)</f>
        <v/>
      </c>
      <c r="L154" s="60" t="str">
        <f>IF(Table2[[#This Row],[Counter Number]]="","","School Bus")</f>
        <v/>
      </c>
      <c r="M154" s="60" t="str">
        <f>IF(Table2[[#This Row],[Counter Number]]="","","School Bus")</f>
        <v/>
      </c>
      <c r="N154" s="60" t="str">
        <f>IF(Table2[[#This Row],[Counter Number]]="","",1)</f>
        <v/>
      </c>
      <c r="O154" s="60" t="str">
        <f>IF(Table2[[#This Row],[Counter Number]]="","",Table1[[#This Row],[Vehicle Identification Number(s):]])</f>
        <v/>
      </c>
      <c r="P154" s="60" t="str">
        <f>IF(Table2[[#This Row],[Counter Number]]="","",Table1[[#This Row],[Old Bus Manufacturer:]])</f>
        <v/>
      </c>
      <c r="Q154" s="60" t="str">
        <f>IF(Table2[[#This Row],[Counter Number]]="","",Table1[[#This Row],[Vehicle Model:]])</f>
        <v/>
      </c>
      <c r="R154" s="165" t="str">
        <f>IF(Table2[[#This Row],[Counter Number]]="","",Table1[[#This Row],[Vehicle Model Year:]])</f>
        <v/>
      </c>
      <c r="S154" s="60" t="str">
        <f>IF(Table2[[#This Row],[Counter Number]]="","",Table1[[#This Row],[Engine Serial Number(s):]])</f>
        <v/>
      </c>
      <c r="T154" s="60" t="str">
        <f>IF(Table2[[#This Row],[Counter Number]]="","",Table1[[#This Row],[Engine Make:]])</f>
        <v/>
      </c>
      <c r="U154" s="60" t="str">
        <f>IF(Table2[[#This Row],[Counter Number]]="","",Table1[[#This Row],[Engine Model:]])</f>
        <v/>
      </c>
      <c r="V154" s="165" t="str">
        <f>IF(Table2[[#This Row],[Counter Number]]="","",Table1[[#This Row],[Engine Model Year:]])</f>
        <v/>
      </c>
      <c r="W154" s="60" t="str">
        <f>IF(Table2[[#This Row],[Counter Number]]="","","NA")</f>
        <v/>
      </c>
      <c r="X154" s="165" t="str">
        <f>IF(Table2[[#This Row],[Counter Number]]="","",Table1[[#This Row],[Engine Horsepower (HP):]])</f>
        <v/>
      </c>
      <c r="Y154" s="165" t="str">
        <f>IF(Table2[[#This Row],[Counter Number]]="","",Table1[[#This Row],[Engine Cylinder Displacement (L):]]&amp;" L")</f>
        <v/>
      </c>
      <c r="Z154" s="165" t="str">
        <f>IF(Table2[[#This Row],[Counter Number]]="","",Table1[[#This Row],[Engine Number of Cylinders:]])</f>
        <v/>
      </c>
      <c r="AA154" s="166" t="str">
        <f>IF(Table2[[#This Row],[Counter Number]]="","",Table1[[#This Row],[Engine Family Name:]])</f>
        <v/>
      </c>
      <c r="AB154" s="60" t="str">
        <f>IF(Table2[[#This Row],[Counter Number]]="","","ULSD")</f>
        <v/>
      </c>
      <c r="AC154" s="167" t="str">
        <f>IF(Table2[[#This Row],[Counter Number]]="","",Table2[[#This Row],[Annual Miles Traveled:]]/Table1[[#This Row],[Old Fuel (mpg)]])</f>
        <v/>
      </c>
      <c r="AD154" s="60" t="str">
        <f>IF(Table2[[#This Row],[Counter Number]]="","","NA")</f>
        <v/>
      </c>
      <c r="AE154" s="168" t="str">
        <f>IF(Table2[[#This Row],[Counter Number]]="","",Table1[[#This Row],[Annual Miles Traveled]])</f>
        <v/>
      </c>
      <c r="AF154" s="169" t="str">
        <f>IF(Table2[[#This Row],[Counter Number]]="","",Table1[[#This Row],[Annual Idling Hours:]])</f>
        <v/>
      </c>
      <c r="AG154" s="60" t="str">
        <f>IF(Table2[[#This Row],[Counter Number]]="","","NA")</f>
        <v/>
      </c>
      <c r="AH154" s="165" t="str">
        <f>IF(Table2[[#This Row],[Counter Number]]="","",IF(Application!$J$25="Set Policy",Table1[[#This Row],[Remaining Life (years)         Set Policy]],Table1[[#This Row],[Remaining Life (years)               Case-by-Case]]))</f>
        <v/>
      </c>
      <c r="AI154" s="165" t="str">
        <f>IF(Table2[[#This Row],[Counter Number]]="","",IF(Application!$J$25="Case-by-Case","NA",Table2[[#This Row],[Fiscal Year of EPA Funds Used:]]+Table2[[#This Row],[Remaining Life:]]))</f>
        <v/>
      </c>
      <c r="AJ154" s="165"/>
      <c r="AK154" s="170" t="str">
        <f>IF(Table2[[#This Row],[Counter Number]]="","",Application!$D$14+1)</f>
        <v/>
      </c>
      <c r="AL154" s="60" t="str">
        <f>IF(Table2[[#This Row],[Counter Number]]="","","Vehicle Replacement")</f>
        <v/>
      </c>
      <c r="AM15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4" s="171" t="str">
        <f>IF(Table2[[#This Row],[Counter Number]]="","",Table1[[#This Row],[Cost of New Bus:]])</f>
        <v/>
      </c>
      <c r="AO154" s="60" t="str">
        <f>IF(Table2[[#This Row],[Counter Number]]="","","NA")</f>
        <v/>
      </c>
      <c r="AP154" s="165" t="str">
        <f>IF(Table2[[#This Row],[Counter Number]]="","",Table1[[#This Row],[New Engine Model Year:]])</f>
        <v/>
      </c>
      <c r="AQ154" s="60" t="str">
        <f>IF(Table2[[#This Row],[Counter Number]]="","","NA")</f>
        <v/>
      </c>
      <c r="AR154" s="165" t="str">
        <f>IF(Table2[[#This Row],[Counter Number]]="","",Table1[[#This Row],[New Engine Horsepower (HP):]])</f>
        <v/>
      </c>
      <c r="AS154" s="60" t="str">
        <f>IF(Table2[[#This Row],[Counter Number]]="","","NA")</f>
        <v/>
      </c>
      <c r="AT154" s="165" t="str">
        <f>IF(Table2[[#This Row],[Counter Number]]="","",Table1[[#This Row],[New Engine Cylinder Displacement (L):]]&amp;" L")</f>
        <v/>
      </c>
      <c r="AU154" s="114" t="str">
        <f>IF(Table2[[#This Row],[Counter Number]]="","",Table1[[#This Row],[New Engine Number of Cylinders:]])</f>
        <v/>
      </c>
      <c r="AV154" s="60" t="str">
        <f>IF(Table2[[#This Row],[Counter Number]]="","",Table1[[#This Row],[New Engine Family Name:]])</f>
        <v/>
      </c>
      <c r="AW15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4" s="60" t="str">
        <f>IF(Table2[[#This Row],[Counter Number]]="","","NA")</f>
        <v/>
      </c>
      <c r="AY154" s="172" t="str">
        <f>IF(Table2[[#This Row],[Counter Number]]="","",IF(Table2[[#This Row],[New Engine Fuel Type:]]="ULSD",Table1[[#This Row],[Annual Miles Traveled]]/Table1[[#This Row],[New Fuel (mpg) if Diesel]],""))</f>
        <v/>
      </c>
      <c r="AZ154" s="60"/>
      <c r="BA154" s="173" t="str">
        <f>IF(Table2[[#This Row],[Counter Number]]="","",Table2[[#This Row],[Annual Miles Traveled:]]*VLOOKUP(Table2[[#This Row],[Engine Model Year:]],EFTable[],3,FALSE))</f>
        <v/>
      </c>
      <c r="BB154" s="173" t="str">
        <f>IF(Table2[[#This Row],[Counter Number]]="","",Table2[[#This Row],[Annual Miles Traveled:]]*IF(Table2[[#This Row],[New Engine Fuel Type:]]="ULSD",VLOOKUP(Table2[[#This Row],[New Engine Model Year:]],EFTable[],3,FALSE),VLOOKUP(Table2[[#This Row],[New Engine Fuel Type:]],EFTable[],3,FALSE)))</f>
        <v/>
      </c>
      <c r="BC154" s="187" t="str">
        <f>IF(Table2[[#This Row],[Counter Number]]="","",Table2[[#This Row],[Old Bus NOx Emissions (tons/yr)]]-Table2[[#This Row],[New Bus NOx Emissions (tons/yr)]])</f>
        <v/>
      </c>
      <c r="BD154" s="188" t="str">
        <f>IF(Table2[[#This Row],[Counter Number]]="","",Table2[[#This Row],[Reduction Bus NOx Emissions (tons/yr)]]/Table2[[#This Row],[Old Bus NOx Emissions (tons/yr)]])</f>
        <v/>
      </c>
      <c r="BE154" s="175" t="str">
        <f>IF(Table2[[#This Row],[Counter Number]]="","",Table2[[#This Row],[Reduction Bus NOx Emissions (tons/yr)]]*Table2[[#This Row],[Remaining Life:]])</f>
        <v/>
      </c>
      <c r="BF154" s="189" t="str">
        <f>IF(Table2[[#This Row],[Counter Number]]="","",IF(Table2[[#This Row],[Lifetime NOx Reduction (tons)]]=0,"NA",Table2[[#This Row],[Upgrade Cost Per Unit]]/Table2[[#This Row],[Lifetime NOx Reduction (tons)]]))</f>
        <v/>
      </c>
      <c r="BG154" s="190" t="str">
        <f>IF(Table2[[#This Row],[Counter Number]]="","",Table2[[#This Row],[Annual Miles Traveled:]]*VLOOKUP(Table2[[#This Row],[Engine Model Year:]],EF!$A$2:$G$27,4,FALSE))</f>
        <v/>
      </c>
      <c r="BH154" s="173" t="str">
        <f>IF(Table2[[#This Row],[Counter Number]]="","",Table2[[#This Row],[Annual Miles Traveled:]]*IF(Table2[[#This Row],[New Engine Fuel Type:]]="ULSD",VLOOKUP(Table2[[#This Row],[New Engine Model Year:]],EFTable[],4,FALSE),VLOOKUP(Table2[[#This Row],[New Engine Fuel Type:]],EFTable[],4,FALSE)))</f>
        <v/>
      </c>
      <c r="BI154" s="191" t="str">
        <f>IF(Table2[[#This Row],[Counter Number]]="","",Table2[[#This Row],[Old Bus PM2.5 Emissions (tons/yr)]]-Table2[[#This Row],[New Bus PM2.5 Emissions (tons/yr)]])</f>
        <v/>
      </c>
      <c r="BJ154" s="192" t="str">
        <f>IF(Table2[[#This Row],[Counter Number]]="","",Table2[[#This Row],[Reduction Bus PM2.5 Emissions (tons/yr)]]/Table2[[#This Row],[Old Bus PM2.5 Emissions (tons/yr)]])</f>
        <v/>
      </c>
      <c r="BK154" s="193" t="str">
        <f>IF(Table2[[#This Row],[Counter Number]]="","",Table2[[#This Row],[Reduction Bus PM2.5 Emissions (tons/yr)]]*Table2[[#This Row],[Remaining Life:]])</f>
        <v/>
      </c>
      <c r="BL154" s="194" t="str">
        <f>IF(Table2[[#This Row],[Counter Number]]="","",IF(Table2[[#This Row],[Lifetime PM2.5 Reduction (tons)]]=0,"NA",Table2[[#This Row],[Upgrade Cost Per Unit]]/Table2[[#This Row],[Lifetime PM2.5 Reduction (tons)]]))</f>
        <v/>
      </c>
      <c r="BM154" s="179" t="str">
        <f>IF(Table2[[#This Row],[Counter Number]]="","",Table2[[#This Row],[Annual Miles Traveled:]]*VLOOKUP(Table2[[#This Row],[Engine Model Year:]],EF!$A$2:$G$40,5,FALSE))</f>
        <v/>
      </c>
      <c r="BN154" s="173" t="str">
        <f>IF(Table2[[#This Row],[Counter Number]]="","",Table2[[#This Row],[Annual Miles Traveled:]]*IF(Table2[[#This Row],[New Engine Fuel Type:]]="ULSD",VLOOKUP(Table2[[#This Row],[New Engine Model Year:]],EFTable[],5,FALSE),VLOOKUP(Table2[[#This Row],[New Engine Fuel Type:]],EFTable[],5,FALSE)))</f>
        <v/>
      </c>
      <c r="BO154" s="190" t="str">
        <f>IF(Table2[[#This Row],[Counter Number]]="","",Table2[[#This Row],[Old Bus HC Emissions (tons/yr)]]-Table2[[#This Row],[New Bus HC Emissions (tons/yr)]])</f>
        <v/>
      </c>
      <c r="BP154" s="188" t="str">
        <f>IF(Table2[[#This Row],[Counter Number]]="","",Table2[[#This Row],[Reduction Bus HC Emissions (tons/yr)]]/Table2[[#This Row],[Old Bus HC Emissions (tons/yr)]])</f>
        <v/>
      </c>
      <c r="BQ154" s="193" t="str">
        <f>IF(Table2[[#This Row],[Counter Number]]="","",Table2[[#This Row],[Reduction Bus HC Emissions (tons/yr)]]*Table2[[#This Row],[Remaining Life:]])</f>
        <v/>
      </c>
      <c r="BR154" s="194" t="str">
        <f>IF(Table2[[#This Row],[Counter Number]]="","",IF(Table2[[#This Row],[Lifetime HC Reduction (tons)]]=0,"NA",Table2[[#This Row],[Upgrade Cost Per Unit]]/Table2[[#This Row],[Lifetime HC Reduction (tons)]]))</f>
        <v/>
      </c>
      <c r="BS154" s="191" t="str">
        <f>IF(Table2[[#This Row],[Counter Number]]="","",Table2[[#This Row],[Annual Miles Traveled:]]*VLOOKUP(Table2[[#This Row],[Engine Model Year:]],EF!$A$2:$G$27,6,FALSE))</f>
        <v/>
      </c>
      <c r="BT154" s="173" t="str">
        <f>IF(Table2[[#This Row],[Counter Number]]="","",Table2[[#This Row],[Annual Miles Traveled:]]*IF(Table2[[#This Row],[New Engine Fuel Type:]]="ULSD",VLOOKUP(Table2[[#This Row],[New Engine Model Year:]],EFTable[],6,FALSE),VLOOKUP(Table2[[#This Row],[New Engine Fuel Type:]],EFTable[],6,FALSE)))</f>
        <v/>
      </c>
      <c r="BU154" s="190" t="str">
        <f>IF(Table2[[#This Row],[Counter Number]]="","",Table2[[#This Row],[Old Bus CO Emissions (tons/yr)]]-Table2[[#This Row],[New Bus CO Emissions (tons/yr)]])</f>
        <v/>
      </c>
      <c r="BV154" s="188" t="str">
        <f>IF(Table2[[#This Row],[Counter Number]]="","",Table2[[#This Row],[Reduction Bus CO Emissions (tons/yr)]]/Table2[[#This Row],[Old Bus CO Emissions (tons/yr)]])</f>
        <v/>
      </c>
      <c r="BW154" s="193" t="str">
        <f>IF(Table2[[#This Row],[Counter Number]]="","",Table2[[#This Row],[Reduction Bus CO Emissions (tons/yr)]]*Table2[[#This Row],[Remaining Life:]])</f>
        <v/>
      </c>
      <c r="BX154" s="194" t="str">
        <f>IF(Table2[[#This Row],[Counter Number]]="","",IF(Table2[[#This Row],[Lifetime CO Reduction (tons)]]=0,"NA",Table2[[#This Row],[Upgrade Cost Per Unit]]/Table2[[#This Row],[Lifetime CO Reduction (tons)]]))</f>
        <v/>
      </c>
      <c r="BY154" s="180" t="str">
        <f>IF(Table2[[#This Row],[Counter Number]]="","",Table2[[#This Row],[Old ULSD Used (gal):]]*VLOOKUP(Table2[[#This Row],[Engine Model Year:]],EF!$A$2:$G$27,7,FALSE))</f>
        <v/>
      </c>
      <c r="BZ15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4" s="195" t="str">
        <f>IF(Table2[[#This Row],[Counter Number]]="","",Table2[[#This Row],[Old Bus CO2 Emissions (tons/yr)]]-Table2[[#This Row],[New Bus CO2 Emissions (tons/yr)]])</f>
        <v/>
      </c>
      <c r="CB154" s="188" t="str">
        <f>IF(Table2[[#This Row],[Counter Number]]="","",Table2[[#This Row],[Reduction Bus CO2 Emissions (tons/yr)]]/Table2[[#This Row],[Old Bus CO2 Emissions (tons/yr)]])</f>
        <v/>
      </c>
      <c r="CC154" s="195" t="str">
        <f>IF(Table2[[#This Row],[Counter Number]]="","",Table2[[#This Row],[Reduction Bus CO2 Emissions (tons/yr)]]*Table2[[#This Row],[Remaining Life:]])</f>
        <v/>
      </c>
      <c r="CD154" s="194" t="str">
        <f>IF(Table2[[#This Row],[Counter Number]]="","",IF(Table2[[#This Row],[Lifetime CO2 Reduction (tons)]]=0,"NA",Table2[[#This Row],[Upgrade Cost Per Unit]]/Table2[[#This Row],[Lifetime CO2 Reduction (tons)]]))</f>
        <v/>
      </c>
      <c r="CE154" s="182" t="str">
        <f>IF(Table2[[#This Row],[Counter Number]]="","",IF(Table2[[#This Row],[New ULSD Used (gal):]]="",Table2[[#This Row],[Old ULSD Used (gal):]],Table2[[#This Row],[Old ULSD Used (gal):]]-Table2[[#This Row],[New ULSD Used (gal):]]))</f>
        <v/>
      </c>
      <c r="CF154" s="196" t="str">
        <f>IF(Table2[[#This Row],[Counter Number]]="","",Table2[[#This Row],[Diesel Fuel Reduction (gal/yr)]]/Table2[[#This Row],[Old ULSD Used (gal):]])</f>
        <v/>
      </c>
      <c r="CG154" s="197" t="str">
        <f>IF(Table2[[#This Row],[Counter Number]]="","",Table2[[#This Row],[Diesel Fuel Reduction (gal/yr)]]*Table2[[#This Row],[Remaining Life:]])</f>
        <v/>
      </c>
    </row>
    <row r="155" spans="1:85">
      <c r="A155" s="184" t="str">
        <f>IF(A154&lt;Application!$D$24,A154+1,"")</f>
        <v/>
      </c>
      <c r="B155" s="60" t="str">
        <f>IF(Table2[[#This Row],[Counter Number]]="","",Application!$D$16)</f>
        <v/>
      </c>
      <c r="C155" s="60" t="str">
        <f>IF(Table2[[#This Row],[Counter Number]]="","",Application!$D$14)</f>
        <v/>
      </c>
      <c r="D155" s="60" t="str">
        <f>IF(Table2[[#This Row],[Counter Number]]="","",Table1[[#This Row],[Old Bus Number]])</f>
        <v/>
      </c>
      <c r="E155" s="60" t="str">
        <f>IF(Table2[[#This Row],[Counter Number]]="","",Application!$D$15)</f>
        <v/>
      </c>
      <c r="F155" s="60" t="str">
        <f>IF(Table2[[#This Row],[Counter Number]]="","","On Highway")</f>
        <v/>
      </c>
      <c r="G155" s="60" t="str">
        <f>IF(Table2[[#This Row],[Counter Number]]="","",I155)</f>
        <v/>
      </c>
      <c r="H155" s="60" t="str">
        <f>IF(Table2[[#This Row],[Counter Number]]="","","Georgia")</f>
        <v/>
      </c>
      <c r="I155" s="60" t="str">
        <f>IF(Table2[[#This Row],[Counter Number]]="","",Application!$D$16)</f>
        <v/>
      </c>
      <c r="J155" s="60" t="str">
        <f>IF(Table2[[#This Row],[Counter Number]]="","",Application!$D$21)</f>
        <v/>
      </c>
      <c r="K155" s="60" t="str">
        <f>IF(Table2[[#This Row],[Counter Number]]="","",Application!$J$21)</f>
        <v/>
      </c>
      <c r="L155" s="60" t="str">
        <f>IF(Table2[[#This Row],[Counter Number]]="","","School Bus")</f>
        <v/>
      </c>
      <c r="M155" s="60" t="str">
        <f>IF(Table2[[#This Row],[Counter Number]]="","","School Bus")</f>
        <v/>
      </c>
      <c r="N155" s="60" t="str">
        <f>IF(Table2[[#This Row],[Counter Number]]="","",1)</f>
        <v/>
      </c>
      <c r="O155" s="60" t="str">
        <f>IF(Table2[[#This Row],[Counter Number]]="","",Table1[[#This Row],[Vehicle Identification Number(s):]])</f>
        <v/>
      </c>
      <c r="P155" s="60" t="str">
        <f>IF(Table2[[#This Row],[Counter Number]]="","",Table1[[#This Row],[Old Bus Manufacturer:]])</f>
        <v/>
      </c>
      <c r="Q155" s="60" t="str">
        <f>IF(Table2[[#This Row],[Counter Number]]="","",Table1[[#This Row],[Vehicle Model:]])</f>
        <v/>
      </c>
      <c r="R155" s="165" t="str">
        <f>IF(Table2[[#This Row],[Counter Number]]="","",Table1[[#This Row],[Vehicle Model Year:]])</f>
        <v/>
      </c>
      <c r="S155" s="60" t="str">
        <f>IF(Table2[[#This Row],[Counter Number]]="","",Table1[[#This Row],[Engine Serial Number(s):]])</f>
        <v/>
      </c>
      <c r="T155" s="60" t="str">
        <f>IF(Table2[[#This Row],[Counter Number]]="","",Table1[[#This Row],[Engine Make:]])</f>
        <v/>
      </c>
      <c r="U155" s="60" t="str">
        <f>IF(Table2[[#This Row],[Counter Number]]="","",Table1[[#This Row],[Engine Model:]])</f>
        <v/>
      </c>
      <c r="V155" s="165" t="str">
        <f>IF(Table2[[#This Row],[Counter Number]]="","",Table1[[#This Row],[Engine Model Year:]])</f>
        <v/>
      </c>
      <c r="W155" s="60" t="str">
        <f>IF(Table2[[#This Row],[Counter Number]]="","","NA")</f>
        <v/>
      </c>
      <c r="X155" s="165" t="str">
        <f>IF(Table2[[#This Row],[Counter Number]]="","",Table1[[#This Row],[Engine Horsepower (HP):]])</f>
        <v/>
      </c>
      <c r="Y155" s="165" t="str">
        <f>IF(Table2[[#This Row],[Counter Number]]="","",Table1[[#This Row],[Engine Cylinder Displacement (L):]]&amp;" L")</f>
        <v/>
      </c>
      <c r="Z155" s="165" t="str">
        <f>IF(Table2[[#This Row],[Counter Number]]="","",Table1[[#This Row],[Engine Number of Cylinders:]])</f>
        <v/>
      </c>
      <c r="AA155" s="166" t="str">
        <f>IF(Table2[[#This Row],[Counter Number]]="","",Table1[[#This Row],[Engine Family Name:]])</f>
        <v/>
      </c>
      <c r="AB155" s="60" t="str">
        <f>IF(Table2[[#This Row],[Counter Number]]="","","ULSD")</f>
        <v/>
      </c>
      <c r="AC155" s="167" t="str">
        <f>IF(Table2[[#This Row],[Counter Number]]="","",Table2[[#This Row],[Annual Miles Traveled:]]/Table1[[#This Row],[Old Fuel (mpg)]])</f>
        <v/>
      </c>
      <c r="AD155" s="60" t="str">
        <f>IF(Table2[[#This Row],[Counter Number]]="","","NA")</f>
        <v/>
      </c>
      <c r="AE155" s="168" t="str">
        <f>IF(Table2[[#This Row],[Counter Number]]="","",Table1[[#This Row],[Annual Miles Traveled]])</f>
        <v/>
      </c>
      <c r="AF155" s="169" t="str">
        <f>IF(Table2[[#This Row],[Counter Number]]="","",Table1[[#This Row],[Annual Idling Hours:]])</f>
        <v/>
      </c>
      <c r="AG155" s="60" t="str">
        <f>IF(Table2[[#This Row],[Counter Number]]="","","NA")</f>
        <v/>
      </c>
      <c r="AH155" s="165" t="str">
        <f>IF(Table2[[#This Row],[Counter Number]]="","",IF(Application!$J$25="Set Policy",Table1[[#This Row],[Remaining Life (years)         Set Policy]],Table1[[#This Row],[Remaining Life (years)               Case-by-Case]]))</f>
        <v/>
      </c>
      <c r="AI155" s="165" t="str">
        <f>IF(Table2[[#This Row],[Counter Number]]="","",IF(Application!$J$25="Case-by-Case","NA",Table2[[#This Row],[Fiscal Year of EPA Funds Used:]]+Table2[[#This Row],[Remaining Life:]]))</f>
        <v/>
      </c>
      <c r="AJ155" s="165"/>
      <c r="AK155" s="170" t="str">
        <f>IF(Table2[[#This Row],[Counter Number]]="","",Application!$D$14+1)</f>
        <v/>
      </c>
      <c r="AL155" s="60" t="str">
        <f>IF(Table2[[#This Row],[Counter Number]]="","","Vehicle Replacement")</f>
        <v/>
      </c>
      <c r="AM15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5" s="171" t="str">
        <f>IF(Table2[[#This Row],[Counter Number]]="","",Table1[[#This Row],[Cost of New Bus:]])</f>
        <v/>
      </c>
      <c r="AO155" s="60" t="str">
        <f>IF(Table2[[#This Row],[Counter Number]]="","","NA")</f>
        <v/>
      </c>
      <c r="AP155" s="165" t="str">
        <f>IF(Table2[[#This Row],[Counter Number]]="","",Table1[[#This Row],[New Engine Model Year:]])</f>
        <v/>
      </c>
      <c r="AQ155" s="60" t="str">
        <f>IF(Table2[[#This Row],[Counter Number]]="","","NA")</f>
        <v/>
      </c>
      <c r="AR155" s="165" t="str">
        <f>IF(Table2[[#This Row],[Counter Number]]="","",Table1[[#This Row],[New Engine Horsepower (HP):]])</f>
        <v/>
      </c>
      <c r="AS155" s="60" t="str">
        <f>IF(Table2[[#This Row],[Counter Number]]="","","NA")</f>
        <v/>
      </c>
      <c r="AT155" s="165" t="str">
        <f>IF(Table2[[#This Row],[Counter Number]]="","",Table1[[#This Row],[New Engine Cylinder Displacement (L):]]&amp;" L")</f>
        <v/>
      </c>
      <c r="AU155" s="114" t="str">
        <f>IF(Table2[[#This Row],[Counter Number]]="","",Table1[[#This Row],[New Engine Number of Cylinders:]])</f>
        <v/>
      </c>
      <c r="AV155" s="60" t="str">
        <f>IF(Table2[[#This Row],[Counter Number]]="","",Table1[[#This Row],[New Engine Family Name:]])</f>
        <v/>
      </c>
      <c r="AW15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5" s="60" t="str">
        <f>IF(Table2[[#This Row],[Counter Number]]="","","NA")</f>
        <v/>
      </c>
      <c r="AY155" s="172" t="str">
        <f>IF(Table2[[#This Row],[Counter Number]]="","",IF(Table2[[#This Row],[New Engine Fuel Type:]]="ULSD",Table1[[#This Row],[Annual Miles Traveled]]/Table1[[#This Row],[New Fuel (mpg) if Diesel]],""))</f>
        <v/>
      </c>
      <c r="AZ155" s="60"/>
      <c r="BA155" s="173" t="str">
        <f>IF(Table2[[#This Row],[Counter Number]]="","",Table2[[#This Row],[Annual Miles Traveled:]]*VLOOKUP(Table2[[#This Row],[Engine Model Year:]],EFTable[],3,FALSE))</f>
        <v/>
      </c>
      <c r="BB155" s="173" t="str">
        <f>IF(Table2[[#This Row],[Counter Number]]="","",Table2[[#This Row],[Annual Miles Traveled:]]*IF(Table2[[#This Row],[New Engine Fuel Type:]]="ULSD",VLOOKUP(Table2[[#This Row],[New Engine Model Year:]],EFTable[],3,FALSE),VLOOKUP(Table2[[#This Row],[New Engine Fuel Type:]],EFTable[],3,FALSE)))</f>
        <v/>
      </c>
      <c r="BC155" s="187" t="str">
        <f>IF(Table2[[#This Row],[Counter Number]]="","",Table2[[#This Row],[Old Bus NOx Emissions (tons/yr)]]-Table2[[#This Row],[New Bus NOx Emissions (tons/yr)]])</f>
        <v/>
      </c>
      <c r="BD155" s="188" t="str">
        <f>IF(Table2[[#This Row],[Counter Number]]="","",Table2[[#This Row],[Reduction Bus NOx Emissions (tons/yr)]]/Table2[[#This Row],[Old Bus NOx Emissions (tons/yr)]])</f>
        <v/>
      </c>
      <c r="BE155" s="175" t="str">
        <f>IF(Table2[[#This Row],[Counter Number]]="","",Table2[[#This Row],[Reduction Bus NOx Emissions (tons/yr)]]*Table2[[#This Row],[Remaining Life:]])</f>
        <v/>
      </c>
      <c r="BF155" s="189" t="str">
        <f>IF(Table2[[#This Row],[Counter Number]]="","",IF(Table2[[#This Row],[Lifetime NOx Reduction (tons)]]=0,"NA",Table2[[#This Row],[Upgrade Cost Per Unit]]/Table2[[#This Row],[Lifetime NOx Reduction (tons)]]))</f>
        <v/>
      </c>
      <c r="BG155" s="190" t="str">
        <f>IF(Table2[[#This Row],[Counter Number]]="","",Table2[[#This Row],[Annual Miles Traveled:]]*VLOOKUP(Table2[[#This Row],[Engine Model Year:]],EF!$A$2:$G$27,4,FALSE))</f>
        <v/>
      </c>
      <c r="BH155" s="173" t="str">
        <f>IF(Table2[[#This Row],[Counter Number]]="","",Table2[[#This Row],[Annual Miles Traveled:]]*IF(Table2[[#This Row],[New Engine Fuel Type:]]="ULSD",VLOOKUP(Table2[[#This Row],[New Engine Model Year:]],EFTable[],4,FALSE),VLOOKUP(Table2[[#This Row],[New Engine Fuel Type:]],EFTable[],4,FALSE)))</f>
        <v/>
      </c>
      <c r="BI155" s="191" t="str">
        <f>IF(Table2[[#This Row],[Counter Number]]="","",Table2[[#This Row],[Old Bus PM2.5 Emissions (tons/yr)]]-Table2[[#This Row],[New Bus PM2.5 Emissions (tons/yr)]])</f>
        <v/>
      </c>
      <c r="BJ155" s="192" t="str">
        <f>IF(Table2[[#This Row],[Counter Number]]="","",Table2[[#This Row],[Reduction Bus PM2.5 Emissions (tons/yr)]]/Table2[[#This Row],[Old Bus PM2.5 Emissions (tons/yr)]])</f>
        <v/>
      </c>
      <c r="BK155" s="193" t="str">
        <f>IF(Table2[[#This Row],[Counter Number]]="","",Table2[[#This Row],[Reduction Bus PM2.5 Emissions (tons/yr)]]*Table2[[#This Row],[Remaining Life:]])</f>
        <v/>
      </c>
      <c r="BL155" s="194" t="str">
        <f>IF(Table2[[#This Row],[Counter Number]]="","",IF(Table2[[#This Row],[Lifetime PM2.5 Reduction (tons)]]=0,"NA",Table2[[#This Row],[Upgrade Cost Per Unit]]/Table2[[#This Row],[Lifetime PM2.5 Reduction (tons)]]))</f>
        <v/>
      </c>
      <c r="BM155" s="179" t="str">
        <f>IF(Table2[[#This Row],[Counter Number]]="","",Table2[[#This Row],[Annual Miles Traveled:]]*VLOOKUP(Table2[[#This Row],[Engine Model Year:]],EF!$A$2:$G$40,5,FALSE))</f>
        <v/>
      </c>
      <c r="BN155" s="173" t="str">
        <f>IF(Table2[[#This Row],[Counter Number]]="","",Table2[[#This Row],[Annual Miles Traveled:]]*IF(Table2[[#This Row],[New Engine Fuel Type:]]="ULSD",VLOOKUP(Table2[[#This Row],[New Engine Model Year:]],EFTable[],5,FALSE),VLOOKUP(Table2[[#This Row],[New Engine Fuel Type:]],EFTable[],5,FALSE)))</f>
        <v/>
      </c>
      <c r="BO155" s="190" t="str">
        <f>IF(Table2[[#This Row],[Counter Number]]="","",Table2[[#This Row],[Old Bus HC Emissions (tons/yr)]]-Table2[[#This Row],[New Bus HC Emissions (tons/yr)]])</f>
        <v/>
      </c>
      <c r="BP155" s="188" t="str">
        <f>IF(Table2[[#This Row],[Counter Number]]="","",Table2[[#This Row],[Reduction Bus HC Emissions (tons/yr)]]/Table2[[#This Row],[Old Bus HC Emissions (tons/yr)]])</f>
        <v/>
      </c>
      <c r="BQ155" s="193" t="str">
        <f>IF(Table2[[#This Row],[Counter Number]]="","",Table2[[#This Row],[Reduction Bus HC Emissions (tons/yr)]]*Table2[[#This Row],[Remaining Life:]])</f>
        <v/>
      </c>
      <c r="BR155" s="194" t="str">
        <f>IF(Table2[[#This Row],[Counter Number]]="","",IF(Table2[[#This Row],[Lifetime HC Reduction (tons)]]=0,"NA",Table2[[#This Row],[Upgrade Cost Per Unit]]/Table2[[#This Row],[Lifetime HC Reduction (tons)]]))</f>
        <v/>
      </c>
      <c r="BS155" s="191" t="str">
        <f>IF(Table2[[#This Row],[Counter Number]]="","",Table2[[#This Row],[Annual Miles Traveled:]]*VLOOKUP(Table2[[#This Row],[Engine Model Year:]],EF!$A$2:$G$27,6,FALSE))</f>
        <v/>
      </c>
      <c r="BT155" s="173" t="str">
        <f>IF(Table2[[#This Row],[Counter Number]]="","",Table2[[#This Row],[Annual Miles Traveled:]]*IF(Table2[[#This Row],[New Engine Fuel Type:]]="ULSD",VLOOKUP(Table2[[#This Row],[New Engine Model Year:]],EFTable[],6,FALSE),VLOOKUP(Table2[[#This Row],[New Engine Fuel Type:]],EFTable[],6,FALSE)))</f>
        <v/>
      </c>
      <c r="BU155" s="190" t="str">
        <f>IF(Table2[[#This Row],[Counter Number]]="","",Table2[[#This Row],[Old Bus CO Emissions (tons/yr)]]-Table2[[#This Row],[New Bus CO Emissions (tons/yr)]])</f>
        <v/>
      </c>
      <c r="BV155" s="188" t="str">
        <f>IF(Table2[[#This Row],[Counter Number]]="","",Table2[[#This Row],[Reduction Bus CO Emissions (tons/yr)]]/Table2[[#This Row],[Old Bus CO Emissions (tons/yr)]])</f>
        <v/>
      </c>
      <c r="BW155" s="193" t="str">
        <f>IF(Table2[[#This Row],[Counter Number]]="","",Table2[[#This Row],[Reduction Bus CO Emissions (tons/yr)]]*Table2[[#This Row],[Remaining Life:]])</f>
        <v/>
      </c>
      <c r="BX155" s="194" t="str">
        <f>IF(Table2[[#This Row],[Counter Number]]="","",IF(Table2[[#This Row],[Lifetime CO Reduction (tons)]]=0,"NA",Table2[[#This Row],[Upgrade Cost Per Unit]]/Table2[[#This Row],[Lifetime CO Reduction (tons)]]))</f>
        <v/>
      </c>
      <c r="BY155" s="180" t="str">
        <f>IF(Table2[[#This Row],[Counter Number]]="","",Table2[[#This Row],[Old ULSD Used (gal):]]*VLOOKUP(Table2[[#This Row],[Engine Model Year:]],EF!$A$2:$G$27,7,FALSE))</f>
        <v/>
      </c>
      <c r="BZ15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5" s="195" t="str">
        <f>IF(Table2[[#This Row],[Counter Number]]="","",Table2[[#This Row],[Old Bus CO2 Emissions (tons/yr)]]-Table2[[#This Row],[New Bus CO2 Emissions (tons/yr)]])</f>
        <v/>
      </c>
      <c r="CB155" s="188" t="str">
        <f>IF(Table2[[#This Row],[Counter Number]]="","",Table2[[#This Row],[Reduction Bus CO2 Emissions (tons/yr)]]/Table2[[#This Row],[Old Bus CO2 Emissions (tons/yr)]])</f>
        <v/>
      </c>
      <c r="CC155" s="195" t="str">
        <f>IF(Table2[[#This Row],[Counter Number]]="","",Table2[[#This Row],[Reduction Bus CO2 Emissions (tons/yr)]]*Table2[[#This Row],[Remaining Life:]])</f>
        <v/>
      </c>
      <c r="CD155" s="194" t="str">
        <f>IF(Table2[[#This Row],[Counter Number]]="","",IF(Table2[[#This Row],[Lifetime CO2 Reduction (tons)]]=0,"NA",Table2[[#This Row],[Upgrade Cost Per Unit]]/Table2[[#This Row],[Lifetime CO2 Reduction (tons)]]))</f>
        <v/>
      </c>
      <c r="CE155" s="182" t="str">
        <f>IF(Table2[[#This Row],[Counter Number]]="","",IF(Table2[[#This Row],[New ULSD Used (gal):]]="",Table2[[#This Row],[Old ULSD Used (gal):]],Table2[[#This Row],[Old ULSD Used (gal):]]-Table2[[#This Row],[New ULSD Used (gal):]]))</f>
        <v/>
      </c>
      <c r="CF155" s="196" t="str">
        <f>IF(Table2[[#This Row],[Counter Number]]="","",Table2[[#This Row],[Diesel Fuel Reduction (gal/yr)]]/Table2[[#This Row],[Old ULSD Used (gal):]])</f>
        <v/>
      </c>
      <c r="CG155" s="197" t="str">
        <f>IF(Table2[[#This Row],[Counter Number]]="","",Table2[[#This Row],[Diesel Fuel Reduction (gal/yr)]]*Table2[[#This Row],[Remaining Life:]])</f>
        <v/>
      </c>
    </row>
    <row r="156" spans="1:85">
      <c r="A156" s="184" t="str">
        <f>IF(A155&lt;Application!$D$24,A155+1,"")</f>
        <v/>
      </c>
      <c r="B156" s="60" t="str">
        <f>IF(Table2[[#This Row],[Counter Number]]="","",Application!$D$16)</f>
        <v/>
      </c>
      <c r="C156" s="60" t="str">
        <f>IF(Table2[[#This Row],[Counter Number]]="","",Application!$D$14)</f>
        <v/>
      </c>
      <c r="D156" s="60" t="str">
        <f>IF(Table2[[#This Row],[Counter Number]]="","",Table1[[#This Row],[Old Bus Number]])</f>
        <v/>
      </c>
      <c r="E156" s="60" t="str">
        <f>IF(Table2[[#This Row],[Counter Number]]="","",Application!$D$15)</f>
        <v/>
      </c>
      <c r="F156" s="60" t="str">
        <f>IF(Table2[[#This Row],[Counter Number]]="","","On Highway")</f>
        <v/>
      </c>
      <c r="G156" s="60" t="str">
        <f>IF(Table2[[#This Row],[Counter Number]]="","",I156)</f>
        <v/>
      </c>
      <c r="H156" s="60" t="str">
        <f>IF(Table2[[#This Row],[Counter Number]]="","","Georgia")</f>
        <v/>
      </c>
      <c r="I156" s="60" t="str">
        <f>IF(Table2[[#This Row],[Counter Number]]="","",Application!$D$16)</f>
        <v/>
      </c>
      <c r="J156" s="60" t="str">
        <f>IF(Table2[[#This Row],[Counter Number]]="","",Application!$D$21)</f>
        <v/>
      </c>
      <c r="K156" s="60" t="str">
        <f>IF(Table2[[#This Row],[Counter Number]]="","",Application!$J$21)</f>
        <v/>
      </c>
      <c r="L156" s="60" t="str">
        <f>IF(Table2[[#This Row],[Counter Number]]="","","School Bus")</f>
        <v/>
      </c>
      <c r="M156" s="60" t="str">
        <f>IF(Table2[[#This Row],[Counter Number]]="","","School Bus")</f>
        <v/>
      </c>
      <c r="N156" s="60" t="str">
        <f>IF(Table2[[#This Row],[Counter Number]]="","",1)</f>
        <v/>
      </c>
      <c r="O156" s="60" t="str">
        <f>IF(Table2[[#This Row],[Counter Number]]="","",Table1[[#This Row],[Vehicle Identification Number(s):]])</f>
        <v/>
      </c>
      <c r="P156" s="60" t="str">
        <f>IF(Table2[[#This Row],[Counter Number]]="","",Table1[[#This Row],[Old Bus Manufacturer:]])</f>
        <v/>
      </c>
      <c r="Q156" s="60" t="str">
        <f>IF(Table2[[#This Row],[Counter Number]]="","",Table1[[#This Row],[Vehicle Model:]])</f>
        <v/>
      </c>
      <c r="R156" s="165" t="str">
        <f>IF(Table2[[#This Row],[Counter Number]]="","",Table1[[#This Row],[Vehicle Model Year:]])</f>
        <v/>
      </c>
      <c r="S156" s="60" t="str">
        <f>IF(Table2[[#This Row],[Counter Number]]="","",Table1[[#This Row],[Engine Serial Number(s):]])</f>
        <v/>
      </c>
      <c r="T156" s="60" t="str">
        <f>IF(Table2[[#This Row],[Counter Number]]="","",Table1[[#This Row],[Engine Make:]])</f>
        <v/>
      </c>
      <c r="U156" s="60" t="str">
        <f>IF(Table2[[#This Row],[Counter Number]]="","",Table1[[#This Row],[Engine Model:]])</f>
        <v/>
      </c>
      <c r="V156" s="165" t="str">
        <f>IF(Table2[[#This Row],[Counter Number]]="","",Table1[[#This Row],[Engine Model Year:]])</f>
        <v/>
      </c>
      <c r="W156" s="60" t="str">
        <f>IF(Table2[[#This Row],[Counter Number]]="","","NA")</f>
        <v/>
      </c>
      <c r="X156" s="165" t="str">
        <f>IF(Table2[[#This Row],[Counter Number]]="","",Table1[[#This Row],[Engine Horsepower (HP):]])</f>
        <v/>
      </c>
      <c r="Y156" s="165" t="str">
        <f>IF(Table2[[#This Row],[Counter Number]]="","",Table1[[#This Row],[Engine Cylinder Displacement (L):]]&amp;" L")</f>
        <v/>
      </c>
      <c r="Z156" s="165" t="str">
        <f>IF(Table2[[#This Row],[Counter Number]]="","",Table1[[#This Row],[Engine Number of Cylinders:]])</f>
        <v/>
      </c>
      <c r="AA156" s="166" t="str">
        <f>IF(Table2[[#This Row],[Counter Number]]="","",Table1[[#This Row],[Engine Family Name:]])</f>
        <v/>
      </c>
      <c r="AB156" s="60" t="str">
        <f>IF(Table2[[#This Row],[Counter Number]]="","","ULSD")</f>
        <v/>
      </c>
      <c r="AC156" s="167" t="str">
        <f>IF(Table2[[#This Row],[Counter Number]]="","",Table2[[#This Row],[Annual Miles Traveled:]]/Table1[[#This Row],[Old Fuel (mpg)]])</f>
        <v/>
      </c>
      <c r="AD156" s="60" t="str">
        <f>IF(Table2[[#This Row],[Counter Number]]="","","NA")</f>
        <v/>
      </c>
      <c r="AE156" s="168" t="str">
        <f>IF(Table2[[#This Row],[Counter Number]]="","",Table1[[#This Row],[Annual Miles Traveled]])</f>
        <v/>
      </c>
      <c r="AF156" s="169" t="str">
        <f>IF(Table2[[#This Row],[Counter Number]]="","",Table1[[#This Row],[Annual Idling Hours:]])</f>
        <v/>
      </c>
      <c r="AG156" s="60" t="str">
        <f>IF(Table2[[#This Row],[Counter Number]]="","","NA")</f>
        <v/>
      </c>
      <c r="AH156" s="165" t="str">
        <f>IF(Table2[[#This Row],[Counter Number]]="","",IF(Application!$J$25="Set Policy",Table1[[#This Row],[Remaining Life (years)         Set Policy]],Table1[[#This Row],[Remaining Life (years)               Case-by-Case]]))</f>
        <v/>
      </c>
      <c r="AI156" s="165" t="str">
        <f>IF(Table2[[#This Row],[Counter Number]]="","",IF(Application!$J$25="Case-by-Case","NA",Table2[[#This Row],[Fiscal Year of EPA Funds Used:]]+Table2[[#This Row],[Remaining Life:]]))</f>
        <v/>
      </c>
      <c r="AJ156" s="165"/>
      <c r="AK156" s="170" t="str">
        <f>IF(Table2[[#This Row],[Counter Number]]="","",Application!$D$14+1)</f>
        <v/>
      </c>
      <c r="AL156" s="60" t="str">
        <f>IF(Table2[[#This Row],[Counter Number]]="","","Vehicle Replacement")</f>
        <v/>
      </c>
      <c r="AM15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6" s="171" t="str">
        <f>IF(Table2[[#This Row],[Counter Number]]="","",Table1[[#This Row],[Cost of New Bus:]])</f>
        <v/>
      </c>
      <c r="AO156" s="60" t="str">
        <f>IF(Table2[[#This Row],[Counter Number]]="","","NA")</f>
        <v/>
      </c>
      <c r="AP156" s="165" t="str">
        <f>IF(Table2[[#This Row],[Counter Number]]="","",Table1[[#This Row],[New Engine Model Year:]])</f>
        <v/>
      </c>
      <c r="AQ156" s="60" t="str">
        <f>IF(Table2[[#This Row],[Counter Number]]="","","NA")</f>
        <v/>
      </c>
      <c r="AR156" s="165" t="str">
        <f>IF(Table2[[#This Row],[Counter Number]]="","",Table1[[#This Row],[New Engine Horsepower (HP):]])</f>
        <v/>
      </c>
      <c r="AS156" s="60" t="str">
        <f>IF(Table2[[#This Row],[Counter Number]]="","","NA")</f>
        <v/>
      </c>
      <c r="AT156" s="165" t="str">
        <f>IF(Table2[[#This Row],[Counter Number]]="","",Table1[[#This Row],[New Engine Cylinder Displacement (L):]]&amp;" L")</f>
        <v/>
      </c>
      <c r="AU156" s="114" t="str">
        <f>IF(Table2[[#This Row],[Counter Number]]="","",Table1[[#This Row],[New Engine Number of Cylinders:]])</f>
        <v/>
      </c>
      <c r="AV156" s="60" t="str">
        <f>IF(Table2[[#This Row],[Counter Number]]="","",Table1[[#This Row],[New Engine Family Name:]])</f>
        <v/>
      </c>
      <c r="AW15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6" s="60" t="str">
        <f>IF(Table2[[#This Row],[Counter Number]]="","","NA")</f>
        <v/>
      </c>
      <c r="AY156" s="172" t="str">
        <f>IF(Table2[[#This Row],[Counter Number]]="","",IF(Table2[[#This Row],[New Engine Fuel Type:]]="ULSD",Table1[[#This Row],[Annual Miles Traveled]]/Table1[[#This Row],[New Fuel (mpg) if Diesel]],""))</f>
        <v/>
      </c>
      <c r="AZ156" s="60"/>
      <c r="BA156" s="173" t="str">
        <f>IF(Table2[[#This Row],[Counter Number]]="","",Table2[[#This Row],[Annual Miles Traveled:]]*VLOOKUP(Table2[[#This Row],[Engine Model Year:]],EFTable[],3,FALSE))</f>
        <v/>
      </c>
      <c r="BB156" s="173" t="str">
        <f>IF(Table2[[#This Row],[Counter Number]]="","",Table2[[#This Row],[Annual Miles Traveled:]]*IF(Table2[[#This Row],[New Engine Fuel Type:]]="ULSD",VLOOKUP(Table2[[#This Row],[New Engine Model Year:]],EFTable[],3,FALSE),VLOOKUP(Table2[[#This Row],[New Engine Fuel Type:]],EFTable[],3,FALSE)))</f>
        <v/>
      </c>
      <c r="BC156" s="187" t="str">
        <f>IF(Table2[[#This Row],[Counter Number]]="","",Table2[[#This Row],[Old Bus NOx Emissions (tons/yr)]]-Table2[[#This Row],[New Bus NOx Emissions (tons/yr)]])</f>
        <v/>
      </c>
      <c r="BD156" s="188" t="str">
        <f>IF(Table2[[#This Row],[Counter Number]]="","",Table2[[#This Row],[Reduction Bus NOx Emissions (tons/yr)]]/Table2[[#This Row],[Old Bus NOx Emissions (tons/yr)]])</f>
        <v/>
      </c>
      <c r="BE156" s="175" t="str">
        <f>IF(Table2[[#This Row],[Counter Number]]="","",Table2[[#This Row],[Reduction Bus NOx Emissions (tons/yr)]]*Table2[[#This Row],[Remaining Life:]])</f>
        <v/>
      </c>
      <c r="BF156" s="189" t="str">
        <f>IF(Table2[[#This Row],[Counter Number]]="","",IF(Table2[[#This Row],[Lifetime NOx Reduction (tons)]]=0,"NA",Table2[[#This Row],[Upgrade Cost Per Unit]]/Table2[[#This Row],[Lifetime NOx Reduction (tons)]]))</f>
        <v/>
      </c>
      <c r="BG156" s="190" t="str">
        <f>IF(Table2[[#This Row],[Counter Number]]="","",Table2[[#This Row],[Annual Miles Traveled:]]*VLOOKUP(Table2[[#This Row],[Engine Model Year:]],EF!$A$2:$G$27,4,FALSE))</f>
        <v/>
      </c>
      <c r="BH156" s="173" t="str">
        <f>IF(Table2[[#This Row],[Counter Number]]="","",Table2[[#This Row],[Annual Miles Traveled:]]*IF(Table2[[#This Row],[New Engine Fuel Type:]]="ULSD",VLOOKUP(Table2[[#This Row],[New Engine Model Year:]],EFTable[],4,FALSE),VLOOKUP(Table2[[#This Row],[New Engine Fuel Type:]],EFTable[],4,FALSE)))</f>
        <v/>
      </c>
      <c r="BI156" s="191" t="str">
        <f>IF(Table2[[#This Row],[Counter Number]]="","",Table2[[#This Row],[Old Bus PM2.5 Emissions (tons/yr)]]-Table2[[#This Row],[New Bus PM2.5 Emissions (tons/yr)]])</f>
        <v/>
      </c>
      <c r="BJ156" s="192" t="str">
        <f>IF(Table2[[#This Row],[Counter Number]]="","",Table2[[#This Row],[Reduction Bus PM2.5 Emissions (tons/yr)]]/Table2[[#This Row],[Old Bus PM2.5 Emissions (tons/yr)]])</f>
        <v/>
      </c>
      <c r="BK156" s="193" t="str">
        <f>IF(Table2[[#This Row],[Counter Number]]="","",Table2[[#This Row],[Reduction Bus PM2.5 Emissions (tons/yr)]]*Table2[[#This Row],[Remaining Life:]])</f>
        <v/>
      </c>
      <c r="BL156" s="194" t="str">
        <f>IF(Table2[[#This Row],[Counter Number]]="","",IF(Table2[[#This Row],[Lifetime PM2.5 Reduction (tons)]]=0,"NA",Table2[[#This Row],[Upgrade Cost Per Unit]]/Table2[[#This Row],[Lifetime PM2.5 Reduction (tons)]]))</f>
        <v/>
      </c>
      <c r="BM156" s="179" t="str">
        <f>IF(Table2[[#This Row],[Counter Number]]="","",Table2[[#This Row],[Annual Miles Traveled:]]*VLOOKUP(Table2[[#This Row],[Engine Model Year:]],EF!$A$2:$G$40,5,FALSE))</f>
        <v/>
      </c>
      <c r="BN156" s="173" t="str">
        <f>IF(Table2[[#This Row],[Counter Number]]="","",Table2[[#This Row],[Annual Miles Traveled:]]*IF(Table2[[#This Row],[New Engine Fuel Type:]]="ULSD",VLOOKUP(Table2[[#This Row],[New Engine Model Year:]],EFTable[],5,FALSE),VLOOKUP(Table2[[#This Row],[New Engine Fuel Type:]],EFTable[],5,FALSE)))</f>
        <v/>
      </c>
      <c r="BO156" s="190" t="str">
        <f>IF(Table2[[#This Row],[Counter Number]]="","",Table2[[#This Row],[Old Bus HC Emissions (tons/yr)]]-Table2[[#This Row],[New Bus HC Emissions (tons/yr)]])</f>
        <v/>
      </c>
      <c r="BP156" s="188" t="str">
        <f>IF(Table2[[#This Row],[Counter Number]]="","",Table2[[#This Row],[Reduction Bus HC Emissions (tons/yr)]]/Table2[[#This Row],[Old Bus HC Emissions (tons/yr)]])</f>
        <v/>
      </c>
      <c r="BQ156" s="193" t="str">
        <f>IF(Table2[[#This Row],[Counter Number]]="","",Table2[[#This Row],[Reduction Bus HC Emissions (tons/yr)]]*Table2[[#This Row],[Remaining Life:]])</f>
        <v/>
      </c>
      <c r="BR156" s="194" t="str">
        <f>IF(Table2[[#This Row],[Counter Number]]="","",IF(Table2[[#This Row],[Lifetime HC Reduction (tons)]]=0,"NA",Table2[[#This Row],[Upgrade Cost Per Unit]]/Table2[[#This Row],[Lifetime HC Reduction (tons)]]))</f>
        <v/>
      </c>
      <c r="BS156" s="191" t="str">
        <f>IF(Table2[[#This Row],[Counter Number]]="","",Table2[[#This Row],[Annual Miles Traveled:]]*VLOOKUP(Table2[[#This Row],[Engine Model Year:]],EF!$A$2:$G$27,6,FALSE))</f>
        <v/>
      </c>
      <c r="BT156" s="173" t="str">
        <f>IF(Table2[[#This Row],[Counter Number]]="","",Table2[[#This Row],[Annual Miles Traveled:]]*IF(Table2[[#This Row],[New Engine Fuel Type:]]="ULSD",VLOOKUP(Table2[[#This Row],[New Engine Model Year:]],EFTable[],6,FALSE),VLOOKUP(Table2[[#This Row],[New Engine Fuel Type:]],EFTable[],6,FALSE)))</f>
        <v/>
      </c>
      <c r="BU156" s="190" t="str">
        <f>IF(Table2[[#This Row],[Counter Number]]="","",Table2[[#This Row],[Old Bus CO Emissions (tons/yr)]]-Table2[[#This Row],[New Bus CO Emissions (tons/yr)]])</f>
        <v/>
      </c>
      <c r="BV156" s="188" t="str">
        <f>IF(Table2[[#This Row],[Counter Number]]="","",Table2[[#This Row],[Reduction Bus CO Emissions (tons/yr)]]/Table2[[#This Row],[Old Bus CO Emissions (tons/yr)]])</f>
        <v/>
      </c>
      <c r="BW156" s="193" t="str">
        <f>IF(Table2[[#This Row],[Counter Number]]="","",Table2[[#This Row],[Reduction Bus CO Emissions (tons/yr)]]*Table2[[#This Row],[Remaining Life:]])</f>
        <v/>
      </c>
      <c r="BX156" s="194" t="str">
        <f>IF(Table2[[#This Row],[Counter Number]]="","",IF(Table2[[#This Row],[Lifetime CO Reduction (tons)]]=0,"NA",Table2[[#This Row],[Upgrade Cost Per Unit]]/Table2[[#This Row],[Lifetime CO Reduction (tons)]]))</f>
        <v/>
      </c>
      <c r="BY156" s="180" t="str">
        <f>IF(Table2[[#This Row],[Counter Number]]="","",Table2[[#This Row],[Old ULSD Used (gal):]]*VLOOKUP(Table2[[#This Row],[Engine Model Year:]],EF!$A$2:$G$27,7,FALSE))</f>
        <v/>
      </c>
      <c r="BZ15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6" s="195" t="str">
        <f>IF(Table2[[#This Row],[Counter Number]]="","",Table2[[#This Row],[Old Bus CO2 Emissions (tons/yr)]]-Table2[[#This Row],[New Bus CO2 Emissions (tons/yr)]])</f>
        <v/>
      </c>
      <c r="CB156" s="188" t="str">
        <f>IF(Table2[[#This Row],[Counter Number]]="","",Table2[[#This Row],[Reduction Bus CO2 Emissions (tons/yr)]]/Table2[[#This Row],[Old Bus CO2 Emissions (tons/yr)]])</f>
        <v/>
      </c>
      <c r="CC156" s="195" t="str">
        <f>IF(Table2[[#This Row],[Counter Number]]="","",Table2[[#This Row],[Reduction Bus CO2 Emissions (tons/yr)]]*Table2[[#This Row],[Remaining Life:]])</f>
        <v/>
      </c>
      <c r="CD156" s="194" t="str">
        <f>IF(Table2[[#This Row],[Counter Number]]="","",IF(Table2[[#This Row],[Lifetime CO2 Reduction (tons)]]=0,"NA",Table2[[#This Row],[Upgrade Cost Per Unit]]/Table2[[#This Row],[Lifetime CO2 Reduction (tons)]]))</f>
        <v/>
      </c>
      <c r="CE156" s="182" t="str">
        <f>IF(Table2[[#This Row],[Counter Number]]="","",IF(Table2[[#This Row],[New ULSD Used (gal):]]="",Table2[[#This Row],[Old ULSD Used (gal):]],Table2[[#This Row],[Old ULSD Used (gal):]]-Table2[[#This Row],[New ULSD Used (gal):]]))</f>
        <v/>
      </c>
      <c r="CF156" s="196" t="str">
        <f>IF(Table2[[#This Row],[Counter Number]]="","",Table2[[#This Row],[Diesel Fuel Reduction (gal/yr)]]/Table2[[#This Row],[Old ULSD Used (gal):]])</f>
        <v/>
      </c>
      <c r="CG156" s="197" t="str">
        <f>IF(Table2[[#This Row],[Counter Number]]="","",Table2[[#This Row],[Diesel Fuel Reduction (gal/yr)]]*Table2[[#This Row],[Remaining Life:]])</f>
        <v/>
      </c>
    </row>
    <row r="157" spans="1:85">
      <c r="A157" s="184" t="str">
        <f>IF(A156&lt;Application!$D$24,A156+1,"")</f>
        <v/>
      </c>
      <c r="B157" s="60" t="str">
        <f>IF(Table2[[#This Row],[Counter Number]]="","",Application!$D$16)</f>
        <v/>
      </c>
      <c r="C157" s="60" t="str">
        <f>IF(Table2[[#This Row],[Counter Number]]="","",Application!$D$14)</f>
        <v/>
      </c>
      <c r="D157" s="60" t="str">
        <f>IF(Table2[[#This Row],[Counter Number]]="","",Table1[[#This Row],[Old Bus Number]])</f>
        <v/>
      </c>
      <c r="E157" s="60" t="str">
        <f>IF(Table2[[#This Row],[Counter Number]]="","",Application!$D$15)</f>
        <v/>
      </c>
      <c r="F157" s="60" t="str">
        <f>IF(Table2[[#This Row],[Counter Number]]="","","On Highway")</f>
        <v/>
      </c>
      <c r="G157" s="60" t="str">
        <f>IF(Table2[[#This Row],[Counter Number]]="","",I157)</f>
        <v/>
      </c>
      <c r="H157" s="60" t="str">
        <f>IF(Table2[[#This Row],[Counter Number]]="","","Georgia")</f>
        <v/>
      </c>
      <c r="I157" s="60" t="str">
        <f>IF(Table2[[#This Row],[Counter Number]]="","",Application!$D$16)</f>
        <v/>
      </c>
      <c r="J157" s="60" t="str">
        <f>IF(Table2[[#This Row],[Counter Number]]="","",Application!$D$21)</f>
        <v/>
      </c>
      <c r="K157" s="60" t="str">
        <f>IF(Table2[[#This Row],[Counter Number]]="","",Application!$J$21)</f>
        <v/>
      </c>
      <c r="L157" s="60" t="str">
        <f>IF(Table2[[#This Row],[Counter Number]]="","","School Bus")</f>
        <v/>
      </c>
      <c r="M157" s="60" t="str">
        <f>IF(Table2[[#This Row],[Counter Number]]="","","School Bus")</f>
        <v/>
      </c>
      <c r="N157" s="60" t="str">
        <f>IF(Table2[[#This Row],[Counter Number]]="","",1)</f>
        <v/>
      </c>
      <c r="O157" s="60" t="str">
        <f>IF(Table2[[#This Row],[Counter Number]]="","",Table1[[#This Row],[Vehicle Identification Number(s):]])</f>
        <v/>
      </c>
      <c r="P157" s="60" t="str">
        <f>IF(Table2[[#This Row],[Counter Number]]="","",Table1[[#This Row],[Old Bus Manufacturer:]])</f>
        <v/>
      </c>
      <c r="Q157" s="60" t="str">
        <f>IF(Table2[[#This Row],[Counter Number]]="","",Table1[[#This Row],[Vehicle Model:]])</f>
        <v/>
      </c>
      <c r="R157" s="165" t="str">
        <f>IF(Table2[[#This Row],[Counter Number]]="","",Table1[[#This Row],[Vehicle Model Year:]])</f>
        <v/>
      </c>
      <c r="S157" s="60" t="str">
        <f>IF(Table2[[#This Row],[Counter Number]]="","",Table1[[#This Row],[Engine Serial Number(s):]])</f>
        <v/>
      </c>
      <c r="T157" s="60" t="str">
        <f>IF(Table2[[#This Row],[Counter Number]]="","",Table1[[#This Row],[Engine Make:]])</f>
        <v/>
      </c>
      <c r="U157" s="60" t="str">
        <f>IF(Table2[[#This Row],[Counter Number]]="","",Table1[[#This Row],[Engine Model:]])</f>
        <v/>
      </c>
      <c r="V157" s="165" t="str">
        <f>IF(Table2[[#This Row],[Counter Number]]="","",Table1[[#This Row],[Engine Model Year:]])</f>
        <v/>
      </c>
      <c r="W157" s="60" t="str">
        <f>IF(Table2[[#This Row],[Counter Number]]="","","NA")</f>
        <v/>
      </c>
      <c r="X157" s="165" t="str">
        <f>IF(Table2[[#This Row],[Counter Number]]="","",Table1[[#This Row],[Engine Horsepower (HP):]])</f>
        <v/>
      </c>
      <c r="Y157" s="165" t="str">
        <f>IF(Table2[[#This Row],[Counter Number]]="","",Table1[[#This Row],[Engine Cylinder Displacement (L):]]&amp;" L")</f>
        <v/>
      </c>
      <c r="Z157" s="165" t="str">
        <f>IF(Table2[[#This Row],[Counter Number]]="","",Table1[[#This Row],[Engine Number of Cylinders:]])</f>
        <v/>
      </c>
      <c r="AA157" s="166" t="str">
        <f>IF(Table2[[#This Row],[Counter Number]]="","",Table1[[#This Row],[Engine Family Name:]])</f>
        <v/>
      </c>
      <c r="AB157" s="60" t="str">
        <f>IF(Table2[[#This Row],[Counter Number]]="","","ULSD")</f>
        <v/>
      </c>
      <c r="AC157" s="167" t="str">
        <f>IF(Table2[[#This Row],[Counter Number]]="","",Table2[[#This Row],[Annual Miles Traveled:]]/Table1[[#This Row],[Old Fuel (mpg)]])</f>
        <v/>
      </c>
      <c r="AD157" s="60" t="str">
        <f>IF(Table2[[#This Row],[Counter Number]]="","","NA")</f>
        <v/>
      </c>
      <c r="AE157" s="168" t="str">
        <f>IF(Table2[[#This Row],[Counter Number]]="","",Table1[[#This Row],[Annual Miles Traveled]])</f>
        <v/>
      </c>
      <c r="AF157" s="169" t="str">
        <f>IF(Table2[[#This Row],[Counter Number]]="","",Table1[[#This Row],[Annual Idling Hours:]])</f>
        <v/>
      </c>
      <c r="AG157" s="60" t="str">
        <f>IF(Table2[[#This Row],[Counter Number]]="","","NA")</f>
        <v/>
      </c>
      <c r="AH157" s="165" t="str">
        <f>IF(Table2[[#This Row],[Counter Number]]="","",IF(Application!$J$25="Set Policy",Table1[[#This Row],[Remaining Life (years)         Set Policy]],Table1[[#This Row],[Remaining Life (years)               Case-by-Case]]))</f>
        <v/>
      </c>
      <c r="AI157" s="165" t="str">
        <f>IF(Table2[[#This Row],[Counter Number]]="","",IF(Application!$J$25="Case-by-Case","NA",Table2[[#This Row],[Fiscal Year of EPA Funds Used:]]+Table2[[#This Row],[Remaining Life:]]))</f>
        <v/>
      </c>
      <c r="AJ157" s="165"/>
      <c r="AK157" s="170" t="str">
        <f>IF(Table2[[#This Row],[Counter Number]]="","",Application!$D$14+1)</f>
        <v/>
      </c>
      <c r="AL157" s="60" t="str">
        <f>IF(Table2[[#This Row],[Counter Number]]="","","Vehicle Replacement")</f>
        <v/>
      </c>
      <c r="AM15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7" s="171" t="str">
        <f>IF(Table2[[#This Row],[Counter Number]]="","",Table1[[#This Row],[Cost of New Bus:]])</f>
        <v/>
      </c>
      <c r="AO157" s="60" t="str">
        <f>IF(Table2[[#This Row],[Counter Number]]="","","NA")</f>
        <v/>
      </c>
      <c r="AP157" s="165" t="str">
        <f>IF(Table2[[#This Row],[Counter Number]]="","",Table1[[#This Row],[New Engine Model Year:]])</f>
        <v/>
      </c>
      <c r="AQ157" s="60" t="str">
        <f>IF(Table2[[#This Row],[Counter Number]]="","","NA")</f>
        <v/>
      </c>
      <c r="AR157" s="165" t="str">
        <f>IF(Table2[[#This Row],[Counter Number]]="","",Table1[[#This Row],[New Engine Horsepower (HP):]])</f>
        <v/>
      </c>
      <c r="AS157" s="60" t="str">
        <f>IF(Table2[[#This Row],[Counter Number]]="","","NA")</f>
        <v/>
      </c>
      <c r="AT157" s="165" t="str">
        <f>IF(Table2[[#This Row],[Counter Number]]="","",Table1[[#This Row],[New Engine Cylinder Displacement (L):]]&amp;" L")</f>
        <v/>
      </c>
      <c r="AU157" s="114" t="str">
        <f>IF(Table2[[#This Row],[Counter Number]]="","",Table1[[#This Row],[New Engine Number of Cylinders:]])</f>
        <v/>
      </c>
      <c r="AV157" s="60" t="str">
        <f>IF(Table2[[#This Row],[Counter Number]]="","",Table1[[#This Row],[New Engine Family Name:]])</f>
        <v/>
      </c>
      <c r="AW15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7" s="60" t="str">
        <f>IF(Table2[[#This Row],[Counter Number]]="","","NA")</f>
        <v/>
      </c>
      <c r="AY157" s="172" t="str">
        <f>IF(Table2[[#This Row],[Counter Number]]="","",IF(Table2[[#This Row],[New Engine Fuel Type:]]="ULSD",Table1[[#This Row],[Annual Miles Traveled]]/Table1[[#This Row],[New Fuel (mpg) if Diesel]],""))</f>
        <v/>
      </c>
      <c r="AZ157" s="60"/>
      <c r="BA157" s="173" t="str">
        <f>IF(Table2[[#This Row],[Counter Number]]="","",Table2[[#This Row],[Annual Miles Traveled:]]*VLOOKUP(Table2[[#This Row],[Engine Model Year:]],EFTable[],3,FALSE))</f>
        <v/>
      </c>
      <c r="BB157" s="173" t="str">
        <f>IF(Table2[[#This Row],[Counter Number]]="","",Table2[[#This Row],[Annual Miles Traveled:]]*IF(Table2[[#This Row],[New Engine Fuel Type:]]="ULSD",VLOOKUP(Table2[[#This Row],[New Engine Model Year:]],EFTable[],3,FALSE),VLOOKUP(Table2[[#This Row],[New Engine Fuel Type:]],EFTable[],3,FALSE)))</f>
        <v/>
      </c>
      <c r="BC157" s="187" t="str">
        <f>IF(Table2[[#This Row],[Counter Number]]="","",Table2[[#This Row],[Old Bus NOx Emissions (tons/yr)]]-Table2[[#This Row],[New Bus NOx Emissions (tons/yr)]])</f>
        <v/>
      </c>
      <c r="BD157" s="188" t="str">
        <f>IF(Table2[[#This Row],[Counter Number]]="","",Table2[[#This Row],[Reduction Bus NOx Emissions (tons/yr)]]/Table2[[#This Row],[Old Bus NOx Emissions (tons/yr)]])</f>
        <v/>
      </c>
      <c r="BE157" s="175" t="str">
        <f>IF(Table2[[#This Row],[Counter Number]]="","",Table2[[#This Row],[Reduction Bus NOx Emissions (tons/yr)]]*Table2[[#This Row],[Remaining Life:]])</f>
        <v/>
      </c>
      <c r="BF157" s="189" t="str">
        <f>IF(Table2[[#This Row],[Counter Number]]="","",IF(Table2[[#This Row],[Lifetime NOx Reduction (tons)]]=0,"NA",Table2[[#This Row],[Upgrade Cost Per Unit]]/Table2[[#This Row],[Lifetime NOx Reduction (tons)]]))</f>
        <v/>
      </c>
      <c r="BG157" s="190" t="str">
        <f>IF(Table2[[#This Row],[Counter Number]]="","",Table2[[#This Row],[Annual Miles Traveled:]]*VLOOKUP(Table2[[#This Row],[Engine Model Year:]],EF!$A$2:$G$27,4,FALSE))</f>
        <v/>
      </c>
      <c r="BH157" s="173" t="str">
        <f>IF(Table2[[#This Row],[Counter Number]]="","",Table2[[#This Row],[Annual Miles Traveled:]]*IF(Table2[[#This Row],[New Engine Fuel Type:]]="ULSD",VLOOKUP(Table2[[#This Row],[New Engine Model Year:]],EFTable[],4,FALSE),VLOOKUP(Table2[[#This Row],[New Engine Fuel Type:]],EFTable[],4,FALSE)))</f>
        <v/>
      </c>
      <c r="BI157" s="191" t="str">
        <f>IF(Table2[[#This Row],[Counter Number]]="","",Table2[[#This Row],[Old Bus PM2.5 Emissions (tons/yr)]]-Table2[[#This Row],[New Bus PM2.5 Emissions (tons/yr)]])</f>
        <v/>
      </c>
      <c r="BJ157" s="192" t="str">
        <f>IF(Table2[[#This Row],[Counter Number]]="","",Table2[[#This Row],[Reduction Bus PM2.5 Emissions (tons/yr)]]/Table2[[#This Row],[Old Bus PM2.5 Emissions (tons/yr)]])</f>
        <v/>
      </c>
      <c r="BK157" s="193" t="str">
        <f>IF(Table2[[#This Row],[Counter Number]]="","",Table2[[#This Row],[Reduction Bus PM2.5 Emissions (tons/yr)]]*Table2[[#This Row],[Remaining Life:]])</f>
        <v/>
      </c>
      <c r="BL157" s="194" t="str">
        <f>IF(Table2[[#This Row],[Counter Number]]="","",IF(Table2[[#This Row],[Lifetime PM2.5 Reduction (tons)]]=0,"NA",Table2[[#This Row],[Upgrade Cost Per Unit]]/Table2[[#This Row],[Lifetime PM2.5 Reduction (tons)]]))</f>
        <v/>
      </c>
      <c r="BM157" s="179" t="str">
        <f>IF(Table2[[#This Row],[Counter Number]]="","",Table2[[#This Row],[Annual Miles Traveled:]]*VLOOKUP(Table2[[#This Row],[Engine Model Year:]],EF!$A$2:$G$40,5,FALSE))</f>
        <v/>
      </c>
      <c r="BN157" s="173" t="str">
        <f>IF(Table2[[#This Row],[Counter Number]]="","",Table2[[#This Row],[Annual Miles Traveled:]]*IF(Table2[[#This Row],[New Engine Fuel Type:]]="ULSD",VLOOKUP(Table2[[#This Row],[New Engine Model Year:]],EFTable[],5,FALSE),VLOOKUP(Table2[[#This Row],[New Engine Fuel Type:]],EFTable[],5,FALSE)))</f>
        <v/>
      </c>
      <c r="BO157" s="190" t="str">
        <f>IF(Table2[[#This Row],[Counter Number]]="","",Table2[[#This Row],[Old Bus HC Emissions (tons/yr)]]-Table2[[#This Row],[New Bus HC Emissions (tons/yr)]])</f>
        <v/>
      </c>
      <c r="BP157" s="188" t="str">
        <f>IF(Table2[[#This Row],[Counter Number]]="","",Table2[[#This Row],[Reduction Bus HC Emissions (tons/yr)]]/Table2[[#This Row],[Old Bus HC Emissions (tons/yr)]])</f>
        <v/>
      </c>
      <c r="BQ157" s="193" t="str">
        <f>IF(Table2[[#This Row],[Counter Number]]="","",Table2[[#This Row],[Reduction Bus HC Emissions (tons/yr)]]*Table2[[#This Row],[Remaining Life:]])</f>
        <v/>
      </c>
      <c r="BR157" s="194" t="str">
        <f>IF(Table2[[#This Row],[Counter Number]]="","",IF(Table2[[#This Row],[Lifetime HC Reduction (tons)]]=0,"NA",Table2[[#This Row],[Upgrade Cost Per Unit]]/Table2[[#This Row],[Lifetime HC Reduction (tons)]]))</f>
        <v/>
      </c>
      <c r="BS157" s="191" t="str">
        <f>IF(Table2[[#This Row],[Counter Number]]="","",Table2[[#This Row],[Annual Miles Traveled:]]*VLOOKUP(Table2[[#This Row],[Engine Model Year:]],EF!$A$2:$G$27,6,FALSE))</f>
        <v/>
      </c>
      <c r="BT157" s="173" t="str">
        <f>IF(Table2[[#This Row],[Counter Number]]="","",Table2[[#This Row],[Annual Miles Traveled:]]*IF(Table2[[#This Row],[New Engine Fuel Type:]]="ULSD",VLOOKUP(Table2[[#This Row],[New Engine Model Year:]],EFTable[],6,FALSE),VLOOKUP(Table2[[#This Row],[New Engine Fuel Type:]],EFTable[],6,FALSE)))</f>
        <v/>
      </c>
      <c r="BU157" s="190" t="str">
        <f>IF(Table2[[#This Row],[Counter Number]]="","",Table2[[#This Row],[Old Bus CO Emissions (tons/yr)]]-Table2[[#This Row],[New Bus CO Emissions (tons/yr)]])</f>
        <v/>
      </c>
      <c r="BV157" s="188" t="str">
        <f>IF(Table2[[#This Row],[Counter Number]]="","",Table2[[#This Row],[Reduction Bus CO Emissions (tons/yr)]]/Table2[[#This Row],[Old Bus CO Emissions (tons/yr)]])</f>
        <v/>
      </c>
      <c r="BW157" s="193" t="str">
        <f>IF(Table2[[#This Row],[Counter Number]]="","",Table2[[#This Row],[Reduction Bus CO Emissions (tons/yr)]]*Table2[[#This Row],[Remaining Life:]])</f>
        <v/>
      </c>
      <c r="BX157" s="194" t="str">
        <f>IF(Table2[[#This Row],[Counter Number]]="","",IF(Table2[[#This Row],[Lifetime CO Reduction (tons)]]=0,"NA",Table2[[#This Row],[Upgrade Cost Per Unit]]/Table2[[#This Row],[Lifetime CO Reduction (tons)]]))</f>
        <v/>
      </c>
      <c r="BY157" s="180" t="str">
        <f>IF(Table2[[#This Row],[Counter Number]]="","",Table2[[#This Row],[Old ULSD Used (gal):]]*VLOOKUP(Table2[[#This Row],[Engine Model Year:]],EF!$A$2:$G$27,7,FALSE))</f>
        <v/>
      </c>
      <c r="BZ15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7" s="195" t="str">
        <f>IF(Table2[[#This Row],[Counter Number]]="","",Table2[[#This Row],[Old Bus CO2 Emissions (tons/yr)]]-Table2[[#This Row],[New Bus CO2 Emissions (tons/yr)]])</f>
        <v/>
      </c>
      <c r="CB157" s="188" t="str">
        <f>IF(Table2[[#This Row],[Counter Number]]="","",Table2[[#This Row],[Reduction Bus CO2 Emissions (tons/yr)]]/Table2[[#This Row],[Old Bus CO2 Emissions (tons/yr)]])</f>
        <v/>
      </c>
      <c r="CC157" s="195" t="str">
        <f>IF(Table2[[#This Row],[Counter Number]]="","",Table2[[#This Row],[Reduction Bus CO2 Emissions (tons/yr)]]*Table2[[#This Row],[Remaining Life:]])</f>
        <v/>
      </c>
      <c r="CD157" s="194" t="str">
        <f>IF(Table2[[#This Row],[Counter Number]]="","",IF(Table2[[#This Row],[Lifetime CO2 Reduction (tons)]]=0,"NA",Table2[[#This Row],[Upgrade Cost Per Unit]]/Table2[[#This Row],[Lifetime CO2 Reduction (tons)]]))</f>
        <v/>
      </c>
      <c r="CE157" s="182" t="str">
        <f>IF(Table2[[#This Row],[Counter Number]]="","",IF(Table2[[#This Row],[New ULSD Used (gal):]]="",Table2[[#This Row],[Old ULSD Used (gal):]],Table2[[#This Row],[Old ULSD Used (gal):]]-Table2[[#This Row],[New ULSD Used (gal):]]))</f>
        <v/>
      </c>
      <c r="CF157" s="196" t="str">
        <f>IF(Table2[[#This Row],[Counter Number]]="","",Table2[[#This Row],[Diesel Fuel Reduction (gal/yr)]]/Table2[[#This Row],[Old ULSD Used (gal):]])</f>
        <v/>
      </c>
      <c r="CG157" s="197" t="str">
        <f>IF(Table2[[#This Row],[Counter Number]]="","",Table2[[#This Row],[Diesel Fuel Reduction (gal/yr)]]*Table2[[#This Row],[Remaining Life:]])</f>
        <v/>
      </c>
    </row>
    <row r="158" spans="1:85">
      <c r="A158" s="184" t="str">
        <f>IF(A157&lt;Application!$D$24,A157+1,"")</f>
        <v/>
      </c>
      <c r="B158" s="60" t="str">
        <f>IF(Table2[[#This Row],[Counter Number]]="","",Application!$D$16)</f>
        <v/>
      </c>
      <c r="C158" s="60" t="str">
        <f>IF(Table2[[#This Row],[Counter Number]]="","",Application!$D$14)</f>
        <v/>
      </c>
      <c r="D158" s="60" t="str">
        <f>IF(Table2[[#This Row],[Counter Number]]="","",Table1[[#This Row],[Old Bus Number]])</f>
        <v/>
      </c>
      <c r="E158" s="60" t="str">
        <f>IF(Table2[[#This Row],[Counter Number]]="","",Application!$D$15)</f>
        <v/>
      </c>
      <c r="F158" s="60" t="str">
        <f>IF(Table2[[#This Row],[Counter Number]]="","","On Highway")</f>
        <v/>
      </c>
      <c r="G158" s="60" t="str">
        <f>IF(Table2[[#This Row],[Counter Number]]="","",I158)</f>
        <v/>
      </c>
      <c r="H158" s="60" t="str">
        <f>IF(Table2[[#This Row],[Counter Number]]="","","Georgia")</f>
        <v/>
      </c>
      <c r="I158" s="60" t="str">
        <f>IF(Table2[[#This Row],[Counter Number]]="","",Application!$D$16)</f>
        <v/>
      </c>
      <c r="J158" s="60" t="str">
        <f>IF(Table2[[#This Row],[Counter Number]]="","",Application!$D$21)</f>
        <v/>
      </c>
      <c r="K158" s="60" t="str">
        <f>IF(Table2[[#This Row],[Counter Number]]="","",Application!$J$21)</f>
        <v/>
      </c>
      <c r="L158" s="60" t="str">
        <f>IF(Table2[[#This Row],[Counter Number]]="","","School Bus")</f>
        <v/>
      </c>
      <c r="M158" s="60" t="str">
        <f>IF(Table2[[#This Row],[Counter Number]]="","","School Bus")</f>
        <v/>
      </c>
      <c r="N158" s="60" t="str">
        <f>IF(Table2[[#This Row],[Counter Number]]="","",1)</f>
        <v/>
      </c>
      <c r="O158" s="60" t="str">
        <f>IF(Table2[[#This Row],[Counter Number]]="","",Table1[[#This Row],[Vehicle Identification Number(s):]])</f>
        <v/>
      </c>
      <c r="P158" s="60" t="str">
        <f>IF(Table2[[#This Row],[Counter Number]]="","",Table1[[#This Row],[Old Bus Manufacturer:]])</f>
        <v/>
      </c>
      <c r="Q158" s="60" t="str">
        <f>IF(Table2[[#This Row],[Counter Number]]="","",Table1[[#This Row],[Vehicle Model:]])</f>
        <v/>
      </c>
      <c r="R158" s="165" t="str">
        <f>IF(Table2[[#This Row],[Counter Number]]="","",Table1[[#This Row],[Vehicle Model Year:]])</f>
        <v/>
      </c>
      <c r="S158" s="60" t="str">
        <f>IF(Table2[[#This Row],[Counter Number]]="","",Table1[[#This Row],[Engine Serial Number(s):]])</f>
        <v/>
      </c>
      <c r="T158" s="60" t="str">
        <f>IF(Table2[[#This Row],[Counter Number]]="","",Table1[[#This Row],[Engine Make:]])</f>
        <v/>
      </c>
      <c r="U158" s="60" t="str">
        <f>IF(Table2[[#This Row],[Counter Number]]="","",Table1[[#This Row],[Engine Model:]])</f>
        <v/>
      </c>
      <c r="V158" s="165" t="str">
        <f>IF(Table2[[#This Row],[Counter Number]]="","",Table1[[#This Row],[Engine Model Year:]])</f>
        <v/>
      </c>
      <c r="W158" s="60" t="str">
        <f>IF(Table2[[#This Row],[Counter Number]]="","","NA")</f>
        <v/>
      </c>
      <c r="X158" s="165" t="str">
        <f>IF(Table2[[#This Row],[Counter Number]]="","",Table1[[#This Row],[Engine Horsepower (HP):]])</f>
        <v/>
      </c>
      <c r="Y158" s="165" t="str">
        <f>IF(Table2[[#This Row],[Counter Number]]="","",Table1[[#This Row],[Engine Cylinder Displacement (L):]]&amp;" L")</f>
        <v/>
      </c>
      <c r="Z158" s="165" t="str">
        <f>IF(Table2[[#This Row],[Counter Number]]="","",Table1[[#This Row],[Engine Number of Cylinders:]])</f>
        <v/>
      </c>
      <c r="AA158" s="166" t="str">
        <f>IF(Table2[[#This Row],[Counter Number]]="","",Table1[[#This Row],[Engine Family Name:]])</f>
        <v/>
      </c>
      <c r="AB158" s="60" t="str">
        <f>IF(Table2[[#This Row],[Counter Number]]="","","ULSD")</f>
        <v/>
      </c>
      <c r="AC158" s="167" t="str">
        <f>IF(Table2[[#This Row],[Counter Number]]="","",Table2[[#This Row],[Annual Miles Traveled:]]/Table1[[#This Row],[Old Fuel (mpg)]])</f>
        <v/>
      </c>
      <c r="AD158" s="60" t="str">
        <f>IF(Table2[[#This Row],[Counter Number]]="","","NA")</f>
        <v/>
      </c>
      <c r="AE158" s="168" t="str">
        <f>IF(Table2[[#This Row],[Counter Number]]="","",Table1[[#This Row],[Annual Miles Traveled]])</f>
        <v/>
      </c>
      <c r="AF158" s="169" t="str">
        <f>IF(Table2[[#This Row],[Counter Number]]="","",Table1[[#This Row],[Annual Idling Hours:]])</f>
        <v/>
      </c>
      <c r="AG158" s="60" t="str">
        <f>IF(Table2[[#This Row],[Counter Number]]="","","NA")</f>
        <v/>
      </c>
      <c r="AH158" s="165" t="str">
        <f>IF(Table2[[#This Row],[Counter Number]]="","",IF(Application!$J$25="Set Policy",Table1[[#This Row],[Remaining Life (years)         Set Policy]],Table1[[#This Row],[Remaining Life (years)               Case-by-Case]]))</f>
        <v/>
      </c>
      <c r="AI158" s="165" t="str">
        <f>IF(Table2[[#This Row],[Counter Number]]="","",IF(Application!$J$25="Case-by-Case","NA",Table2[[#This Row],[Fiscal Year of EPA Funds Used:]]+Table2[[#This Row],[Remaining Life:]]))</f>
        <v/>
      </c>
      <c r="AJ158" s="165"/>
      <c r="AK158" s="170" t="str">
        <f>IF(Table2[[#This Row],[Counter Number]]="","",Application!$D$14+1)</f>
        <v/>
      </c>
      <c r="AL158" s="60" t="str">
        <f>IF(Table2[[#This Row],[Counter Number]]="","","Vehicle Replacement")</f>
        <v/>
      </c>
      <c r="AM15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8" s="171" t="str">
        <f>IF(Table2[[#This Row],[Counter Number]]="","",Table1[[#This Row],[Cost of New Bus:]])</f>
        <v/>
      </c>
      <c r="AO158" s="60" t="str">
        <f>IF(Table2[[#This Row],[Counter Number]]="","","NA")</f>
        <v/>
      </c>
      <c r="AP158" s="165" t="str">
        <f>IF(Table2[[#This Row],[Counter Number]]="","",Table1[[#This Row],[New Engine Model Year:]])</f>
        <v/>
      </c>
      <c r="AQ158" s="60" t="str">
        <f>IF(Table2[[#This Row],[Counter Number]]="","","NA")</f>
        <v/>
      </c>
      <c r="AR158" s="165" t="str">
        <f>IF(Table2[[#This Row],[Counter Number]]="","",Table1[[#This Row],[New Engine Horsepower (HP):]])</f>
        <v/>
      </c>
      <c r="AS158" s="60" t="str">
        <f>IF(Table2[[#This Row],[Counter Number]]="","","NA")</f>
        <v/>
      </c>
      <c r="AT158" s="165" t="str">
        <f>IF(Table2[[#This Row],[Counter Number]]="","",Table1[[#This Row],[New Engine Cylinder Displacement (L):]]&amp;" L")</f>
        <v/>
      </c>
      <c r="AU158" s="114" t="str">
        <f>IF(Table2[[#This Row],[Counter Number]]="","",Table1[[#This Row],[New Engine Number of Cylinders:]])</f>
        <v/>
      </c>
      <c r="AV158" s="60" t="str">
        <f>IF(Table2[[#This Row],[Counter Number]]="","",Table1[[#This Row],[New Engine Family Name:]])</f>
        <v/>
      </c>
      <c r="AW15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8" s="60" t="str">
        <f>IF(Table2[[#This Row],[Counter Number]]="","","NA")</f>
        <v/>
      </c>
      <c r="AY158" s="172" t="str">
        <f>IF(Table2[[#This Row],[Counter Number]]="","",IF(Table2[[#This Row],[New Engine Fuel Type:]]="ULSD",Table1[[#This Row],[Annual Miles Traveled]]/Table1[[#This Row],[New Fuel (mpg) if Diesel]],""))</f>
        <v/>
      </c>
      <c r="AZ158" s="60"/>
      <c r="BA158" s="173" t="str">
        <f>IF(Table2[[#This Row],[Counter Number]]="","",Table2[[#This Row],[Annual Miles Traveled:]]*VLOOKUP(Table2[[#This Row],[Engine Model Year:]],EFTable[],3,FALSE))</f>
        <v/>
      </c>
      <c r="BB158" s="173" t="str">
        <f>IF(Table2[[#This Row],[Counter Number]]="","",Table2[[#This Row],[Annual Miles Traveled:]]*IF(Table2[[#This Row],[New Engine Fuel Type:]]="ULSD",VLOOKUP(Table2[[#This Row],[New Engine Model Year:]],EFTable[],3,FALSE),VLOOKUP(Table2[[#This Row],[New Engine Fuel Type:]],EFTable[],3,FALSE)))</f>
        <v/>
      </c>
      <c r="BC158" s="187" t="str">
        <f>IF(Table2[[#This Row],[Counter Number]]="","",Table2[[#This Row],[Old Bus NOx Emissions (tons/yr)]]-Table2[[#This Row],[New Bus NOx Emissions (tons/yr)]])</f>
        <v/>
      </c>
      <c r="BD158" s="188" t="str">
        <f>IF(Table2[[#This Row],[Counter Number]]="","",Table2[[#This Row],[Reduction Bus NOx Emissions (tons/yr)]]/Table2[[#This Row],[Old Bus NOx Emissions (tons/yr)]])</f>
        <v/>
      </c>
      <c r="BE158" s="175" t="str">
        <f>IF(Table2[[#This Row],[Counter Number]]="","",Table2[[#This Row],[Reduction Bus NOx Emissions (tons/yr)]]*Table2[[#This Row],[Remaining Life:]])</f>
        <v/>
      </c>
      <c r="BF158" s="189" t="str">
        <f>IF(Table2[[#This Row],[Counter Number]]="","",IF(Table2[[#This Row],[Lifetime NOx Reduction (tons)]]=0,"NA",Table2[[#This Row],[Upgrade Cost Per Unit]]/Table2[[#This Row],[Lifetime NOx Reduction (tons)]]))</f>
        <v/>
      </c>
      <c r="BG158" s="190" t="str">
        <f>IF(Table2[[#This Row],[Counter Number]]="","",Table2[[#This Row],[Annual Miles Traveled:]]*VLOOKUP(Table2[[#This Row],[Engine Model Year:]],EF!$A$2:$G$27,4,FALSE))</f>
        <v/>
      </c>
      <c r="BH158" s="173" t="str">
        <f>IF(Table2[[#This Row],[Counter Number]]="","",Table2[[#This Row],[Annual Miles Traveled:]]*IF(Table2[[#This Row],[New Engine Fuel Type:]]="ULSD",VLOOKUP(Table2[[#This Row],[New Engine Model Year:]],EFTable[],4,FALSE),VLOOKUP(Table2[[#This Row],[New Engine Fuel Type:]],EFTable[],4,FALSE)))</f>
        <v/>
      </c>
      <c r="BI158" s="191" t="str">
        <f>IF(Table2[[#This Row],[Counter Number]]="","",Table2[[#This Row],[Old Bus PM2.5 Emissions (tons/yr)]]-Table2[[#This Row],[New Bus PM2.5 Emissions (tons/yr)]])</f>
        <v/>
      </c>
      <c r="BJ158" s="192" t="str">
        <f>IF(Table2[[#This Row],[Counter Number]]="","",Table2[[#This Row],[Reduction Bus PM2.5 Emissions (tons/yr)]]/Table2[[#This Row],[Old Bus PM2.5 Emissions (tons/yr)]])</f>
        <v/>
      </c>
      <c r="BK158" s="193" t="str">
        <f>IF(Table2[[#This Row],[Counter Number]]="","",Table2[[#This Row],[Reduction Bus PM2.5 Emissions (tons/yr)]]*Table2[[#This Row],[Remaining Life:]])</f>
        <v/>
      </c>
      <c r="BL158" s="194" t="str">
        <f>IF(Table2[[#This Row],[Counter Number]]="","",IF(Table2[[#This Row],[Lifetime PM2.5 Reduction (tons)]]=0,"NA",Table2[[#This Row],[Upgrade Cost Per Unit]]/Table2[[#This Row],[Lifetime PM2.5 Reduction (tons)]]))</f>
        <v/>
      </c>
      <c r="BM158" s="179" t="str">
        <f>IF(Table2[[#This Row],[Counter Number]]="","",Table2[[#This Row],[Annual Miles Traveled:]]*VLOOKUP(Table2[[#This Row],[Engine Model Year:]],EF!$A$2:$G$40,5,FALSE))</f>
        <v/>
      </c>
      <c r="BN158" s="173" t="str">
        <f>IF(Table2[[#This Row],[Counter Number]]="","",Table2[[#This Row],[Annual Miles Traveled:]]*IF(Table2[[#This Row],[New Engine Fuel Type:]]="ULSD",VLOOKUP(Table2[[#This Row],[New Engine Model Year:]],EFTable[],5,FALSE),VLOOKUP(Table2[[#This Row],[New Engine Fuel Type:]],EFTable[],5,FALSE)))</f>
        <v/>
      </c>
      <c r="BO158" s="190" t="str">
        <f>IF(Table2[[#This Row],[Counter Number]]="","",Table2[[#This Row],[Old Bus HC Emissions (tons/yr)]]-Table2[[#This Row],[New Bus HC Emissions (tons/yr)]])</f>
        <v/>
      </c>
      <c r="BP158" s="188" t="str">
        <f>IF(Table2[[#This Row],[Counter Number]]="","",Table2[[#This Row],[Reduction Bus HC Emissions (tons/yr)]]/Table2[[#This Row],[Old Bus HC Emissions (tons/yr)]])</f>
        <v/>
      </c>
      <c r="BQ158" s="193" t="str">
        <f>IF(Table2[[#This Row],[Counter Number]]="","",Table2[[#This Row],[Reduction Bus HC Emissions (tons/yr)]]*Table2[[#This Row],[Remaining Life:]])</f>
        <v/>
      </c>
      <c r="BR158" s="194" t="str">
        <f>IF(Table2[[#This Row],[Counter Number]]="","",IF(Table2[[#This Row],[Lifetime HC Reduction (tons)]]=0,"NA",Table2[[#This Row],[Upgrade Cost Per Unit]]/Table2[[#This Row],[Lifetime HC Reduction (tons)]]))</f>
        <v/>
      </c>
      <c r="BS158" s="191" t="str">
        <f>IF(Table2[[#This Row],[Counter Number]]="","",Table2[[#This Row],[Annual Miles Traveled:]]*VLOOKUP(Table2[[#This Row],[Engine Model Year:]],EF!$A$2:$G$27,6,FALSE))</f>
        <v/>
      </c>
      <c r="BT158" s="173" t="str">
        <f>IF(Table2[[#This Row],[Counter Number]]="","",Table2[[#This Row],[Annual Miles Traveled:]]*IF(Table2[[#This Row],[New Engine Fuel Type:]]="ULSD",VLOOKUP(Table2[[#This Row],[New Engine Model Year:]],EFTable[],6,FALSE),VLOOKUP(Table2[[#This Row],[New Engine Fuel Type:]],EFTable[],6,FALSE)))</f>
        <v/>
      </c>
      <c r="BU158" s="190" t="str">
        <f>IF(Table2[[#This Row],[Counter Number]]="","",Table2[[#This Row],[Old Bus CO Emissions (tons/yr)]]-Table2[[#This Row],[New Bus CO Emissions (tons/yr)]])</f>
        <v/>
      </c>
      <c r="BV158" s="188" t="str">
        <f>IF(Table2[[#This Row],[Counter Number]]="","",Table2[[#This Row],[Reduction Bus CO Emissions (tons/yr)]]/Table2[[#This Row],[Old Bus CO Emissions (tons/yr)]])</f>
        <v/>
      </c>
      <c r="BW158" s="193" t="str">
        <f>IF(Table2[[#This Row],[Counter Number]]="","",Table2[[#This Row],[Reduction Bus CO Emissions (tons/yr)]]*Table2[[#This Row],[Remaining Life:]])</f>
        <v/>
      </c>
      <c r="BX158" s="194" t="str">
        <f>IF(Table2[[#This Row],[Counter Number]]="","",IF(Table2[[#This Row],[Lifetime CO Reduction (tons)]]=0,"NA",Table2[[#This Row],[Upgrade Cost Per Unit]]/Table2[[#This Row],[Lifetime CO Reduction (tons)]]))</f>
        <v/>
      </c>
      <c r="BY158" s="180" t="str">
        <f>IF(Table2[[#This Row],[Counter Number]]="","",Table2[[#This Row],[Old ULSD Used (gal):]]*VLOOKUP(Table2[[#This Row],[Engine Model Year:]],EF!$A$2:$G$27,7,FALSE))</f>
        <v/>
      </c>
      <c r="BZ15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8" s="195" t="str">
        <f>IF(Table2[[#This Row],[Counter Number]]="","",Table2[[#This Row],[Old Bus CO2 Emissions (tons/yr)]]-Table2[[#This Row],[New Bus CO2 Emissions (tons/yr)]])</f>
        <v/>
      </c>
      <c r="CB158" s="188" t="str">
        <f>IF(Table2[[#This Row],[Counter Number]]="","",Table2[[#This Row],[Reduction Bus CO2 Emissions (tons/yr)]]/Table2[[#This Row],[Old Bus CO2 Emissions (tons/yr)]])</f>
        <v/>
      </c>
      <c r="CC158" s="195" t="str">
        <f>IF(Table2[[#This Row],[Counter Number]]="","",Table2[[#This Row],[Reduction Bus CO2 Emissions (tons/yr)]]*Table2[[#This Row],[Remaining Life:]])</f>
        <v/>
      </c>
      <c r="CD158" s="194" t="str">
        <f>IF(Table2[[#This Row],[Counter Number]]="","",IF(Table2[[#This Row],[Lifetime CO2 Reduction (tons)]]=0,"NA",Table2[[#This Row],[Upgrade Cost Per Unit]]/Table2[[#This Row],[Lifetime CO2 Reduction (tons)]]))</f>
        <v/>
      </c>
      <c r="CE158" s="182" t="str">
        <f>IF(Table2[[#This Row],[Counter Number]]="","",IF(Table2[[#This Row],[New ULSD Used (gal):]]="",Table2[[#This Row],[Old ULSD Used (gal):]],Table2[[#This Row],[Old ULSD Used (gal):]]-Table2[[#This Row],[New ULSD Used (gal):]]))</f>
        <v/>
      </c>
      <c r="CF158" s="196" t="str">
        <f>IF(Table2[[#This Row],[Counter Number]]="","",Table2[[#This Row],[Diesel Fuel Reduction (gal/yr)]]/Table2[[#This Row],[Old ULSD Used (gal):]])</f>
        <v/>
      </c>
      <c r="CG158" s="197" t="str">
        <f>IF(Table2[[#This Row],[Counter Number]]="","",Table2[[#This Row],[Diesel Fuel Reduction (gal/yr)]]*Table2[[#This Row],[Remaining Life:]])</f>
        <v/>
      </c>
    </row>
    <row r="159" spans="1:85">
      <c r="A159" s="184" t="str">
        <f>IF(A158&lt;Application!$D$24,A158+1,"")</f>
        <v/>
      </c>
      <c r="B159" s="60" t="str">
        <f>IF(Table2[[#This Row],[Counter Number]]="","",Application!$D$16)</f>
        <v/>
      </c>
      <c r="C159" s="60" t="str">
        <f>IF(Table2[[#This Row],[Counter Number]]="","",Application!$D$14)</f>
        <v/>
      </c>
      <c r="D159" s="60" t="str">
        <f>IF(Table2[[#This Row],[Counter Number]]="","",Table1[[#This Row],[Old Bus Number]])</f>
        <v/>
      </c>
      <c r="E159" s="60" t="str">
        <f>IF(Table2[[#This Row],[Counter Number]]="","",Application!$D$15)</f>
        <v/>
      </c>
      <c r="F159" s="60" t="str">
        <f>IF(Table2[[#This Row],[Counter Number]]="","","On Highway")</f>
        <v/>
      </c>
      <c r="G159" s="60" t="str">
        <f>IF(Table2[[#This Row],[Counter Number]]="","",I159)</f>
        <v/>
      </c>
      <c r="H159" s="60" t="str">
        <f>IF(Table2[[#This Row],[Counter Number]]="","","Georgia")</f>
        <v/>
      </c>
      <c r="I159" s="60" t="str">
        <f>IF(Table2[[#This Row],[Counter Number]]="","",Application!$D$16)</f>
        <v/>
      </c>
      <c r="J159" s="60" t="str">
        <f>IF(Table2[[#This Row],[Counter Number]]="","",Application!$D$21)</f>
        <v/>
      </c>
      <c r="K159" s="60" t="str">
        <f>IF(Table2[[#This Row],[Counter Number]]="","",Application!$J$21)</f>
        <v/>
      </c>
      <c r="L159" s="60" t="str">
        <f>IF(Table2[[#This Row],[Counter Number]]="","","School Bus")</f>
        <v/>
      </c>
      <c r="M159" s="60" t="str">
        <f>IF(Table2[[#This Row],[Counter Number]]="","","School Bus")</f>
        <v/>
      </c>
      <c r="N159" s="60" t="str">
        <f>IF(Table2[[#This Row],[Counter Number]]="","",1)</f>
        <v/>
      </c>
      <c r="O159" s="60" t="str">
        <f>IF(Table2[[#This Row],[Counter Number]]="","",Table1[[#This Row],[Vehicle Identification Number(s):]])</f>
        <v/>
      </c>
      <c r="P159" s="60" t="str">
        <f>IF(Table2[[#This Row],[Counter Number]]="","",Table1[[#This Row],[Old Bus Manufacturer:]])</f>
        <v/>
      </c>
      <c r="Q159" s="60" t="str">
        <f>IF(Table2[[#This Row],[Counter Number]]="","",Table1[[#This Row],[Vehicle Model:]])</f>
        <v/>
      </c>
      <c r="R159" s="165" t="str">
        <f>IF(Table2[[#This Row],[Counter Number]]="","",Table1[[#This Row],[Vehicle Model Year:]])</f>
        <v/>
      </c>
      <c r="S159" s="60" t="str">
        <f>IF(Table2[[#This Row],[Counter Number]]="","",Table1[[#This Row],[Engine Serial Number(s):]])</f>
        <v/>
      </c>
      <c r="T159" s="60" t="str">
        <f>IF(Table2[[#This Row],[Counter Number]]="","",Table1[[#This Row],[Engine Make:]])</f>
        <v/>
      </c>
      <c r="U159" s="60" t="str">
        <f>IF(Table2[[#This Row],[Counter Number]]="","",Table1[[#This Row],[Engine Model:]])</f>
        <v/>
      </c>
      <c r="V159" s="165" t="str">
        <f>IF(Table2[[#This Row],[Counter Number]]="","",Table1[[#This Row],[Engine Model Year:]])</f>
        <v/>
      </c>
      <c r="W159" s="60" t="str">
        <f>IF(Table2[[#This Row],[Counter Number]]="","","NA")</f>
        <v/>
      </c>
      <c r="X159" s="165" t="str">
        <f>IF(Table2[[#This Row],[Counter Number]]="","",Table1[[#This Row],[Engine Horsepower (HP):]])</f>
        <v/>
      </c>
      <c r="Y159" s="165" t="str">
        <f>IF(Table2[[#This Row],[Counter Number]]="","",Table1[[#This Row],[Engine Cylinder Displacement (L):]]&amp;" L")</f>
        <v/>
      </c>
      <c r="Z159" s="165" t="str">
        <f>IF(Table2[[#This Row],[Counter Number]]="","",Table1[[#This Row],[Engine Number of Cylinders:]])</f>
        <v/>
      </c>
      <c r="AA159" s="166" t="str">
        <f>IF(Table2[[#This Row],[Counter Number]]="","",Table1[[#This Row],[Engine Family Name:]])</f>
        <v/>
      </c>
      <c r="AB159" s="60" t="str">
        <f>IF(Table2[[#This Row],[Counter Number]]="","","ULSD")</f>
        <v/>
      </c>
      <c r="AC159" s="167" t="str">
        <f>IF(Table2[[#This Row],[Counter Number]]="","",Table2[[#This Row],[Annual Miles Traveled:]]/Table1[[#This Row],[Old Fuel (mpg)]])</f>
        <v/>
      </c>
      <c r="AD159" s="60" t="str">
        <f>IF(Table2[[#This Row],[Counter Number]]="","","NA")</f>
        <v/>
      </c>
      <c r="AE159" s="168" t="str">
        <f>IF(Table2[[#This Row],[Counter Number]]="","",Table1[[#This Row],[Annual Miles Traveled]])</f>
        <v/>
      </c>
      <c r="AF159" s="169" t="str">
        <f>IF(Table2[[#This Row],[Counter Number]]="","",Table1[[#This Row],[Annual Idling Hours:]])</f>
        <v/>
      </c>
      <c r="AG159" s="60" t="str">
        <f>IF(Table2[[#This Row],[Counter Number]]="","","NA")</f>
        <v/>
      </c>
      <c r="AH159" s="165" t="str">
        <f>IF(Table2[[#This Row],[Counter Number]]="","",IF(Application!$J$25="Set Policy",Table1[[#This Row],[Remaining Life (years)         Set Policy]],Table1[[#This Row],[Remaining Life (years)               Case-by-Case]]))</f>
        <v/>
      </c>
      <c r="AI159" s="165" t="str">
        <f>IF(Table2[[#This Row],[Counter Number]]="","",IF(Application!$J$25="Case-by-Case","NA",Table2[[#This Row],[Fiscal Year of EPA Funds Used:]]+Table2[[#This Row],[Remaining Life:]]))</f>
        <v/>
      </c>
      <c r="AJ159" s="165"/>
      <c r="AK159" s="170" t="str">
        <f>IF(Table2[[#This Row],[Counter Number]]="","",Application!$D$14+1)</f>
        <v/>
      </c>
      <c r="AL159" s="60" t="str">
        <f>IF(Table2[[#This Row],[Counter Number]]="","","Vehicle Replacement")</f>
        <v/>
      </c>
      <c r="AM15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9" s="171" t="str">
        <f>IF(Table2[[#This Row],[Counter Number]]="","",Table1[[#This Row],[Cost of New Bus:]])</f>
        <v/>
      </c>
      <c r="AO159" s="60" t="str">
        <f>IF(Table2[[#This Row],[Counter Number]]="","","NA")</f>
        <v/>
      </c>
      <c r="AP159" s="165" t="str">
        <f>IF(Table2[[#This Row],[Counter Number]]="","",Table1[[#This Row],[New Engine Model Year:]])</f>
        <v/>
      </c>
      <c r="AQ159" s="60" t="str">
        <f>IF(Table2[[#This Row],[Counter Number]]="","","NA")</f>
        <v/>
      </c>
      <c r="AR159" s="165" t="str">
        <f>IF(Table2[[#This Row],[Counter Number]]="","",Table1[[#This Row],[New Engine Horsepower (HP):]])</f>
        <v/>
      </c>
      <c r="AS159" s="60" t="str">
        <f>IF(Table2[[#This Row],[Counter Number]]="","","NA")</f>
        <v/>
      </c>
      <c r="AT159" s="165" t="str">
        <f>IF(Table2[[#This Row],[Counter Number]]="","",Table1[[#This Row],[New Engine Cylinder Displacement (L):]]&amp;" L")</f>
        <v/>
      </c>
      <c r="AU159" s="114" t="str">
        <f>IF(Table2[[#This Row],[Counter Number]]="","",Table1[[#This Row],[New Engine Number of Cylinders:]])</f>
        <v/>
      </c>
      <c r="AV159" s="60" t="str">
        <f>IF(Table2[[#This Row],[Counter Number]]="","",Table1[[#This Row],[New Engine Family Name:]])</f>
        <v/>
      </c>
      <c r="AW15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9" s="60" t="str">
        <f>IF(Table2[[#This Row],[Counter Number]]="","","NA")</f>
        <v/>
      </c>
      <c r="AY159" s="172" t="str">
        <f>IF(Table2[[#This Row],[Counter Number]]="","",IF(Table2[[#This Row],[New Engine Fuel Type:]]="ULSD",Table1[[#This Row],[Annual Miles Traveled]]/Table1[[#This Row],[New Fuel (mpg) if Diesel]],""))</f>
        <v/>
      </c>
      <c r="AZ159" s="60"/>
      <c r="BA159" s="173" t="str">
        <f>IF(Table2[[#This Row],[Counter Number]]="","",Table2[[#This Row],[Annual Miles Traveled:]]*VLOOKUP(Table2[[#This Row],[Engine Model Year:]],EFTable[],3,FALSE))</f>
        <v/>
      </c>
      <c r="BB159" s="173" t="str">
        <f>IF(Table2[[#This Row],[Counter Number]]="","",Table2[[#This Row],[Annual Miles Traveled:]]*IF(Table2[[#This Row],[New Engine Fuel Type:]]="ULSD",VLOOKUP(Table2[[#This Row],[New Engine Model Year:]],EFTable[],3,FALSE),VLOOKUP(Table2[[#This Row],[New Engine Fuel Type:]],EFTable[],3,FALSE)))</f>
        <v/>
      </c>
      <c r="BC159" s="187" t="str">
        <f>IF(Table2[[#This Row],[Counter Number]]="","",Table2[[#This Row],[Old Bus NOx Emissions (tons/yr)]]-Table2[[#This Row],[New Bus NOx Emissions (tons/yr)]])</f>
        <v/>
      </c>
      <c r="BD159" s="188" t="str">
        <f>IF(Table2[[#This Row],[Counter Number]]="","",Table2[[#This Row],[Reduction Bus NOx Emissions (tons/yr)]]/Table2[[#This Row],[Old Bus NOx Emissions (tons/yr)]])</f>
        <v/>
      </c>
      <c r="BE159" s="175" t="str">
        <f>IF(Table2[[#This Row],[Counter Number]]="","",Table2[[#This Row],[Reduction Bus NOx Emissions (tons/yr)]]*Table2[[#This Row],[Remaining Life:]])</f>
        <v/>
      </c>
      <c r="BF159" s="189" t="str">
        <f>IF(Table2[[#This Row],[Counter Number]]="","",IF(Table2[[#This Row],[Lifetime NOx Reduction (tons)]]=0,"NA",Table2[[#This Row],[Upgrade Cost Per Unit]]/Table2[[#This Row],[Lifetime NOx Reduction (tons)]]))</f>
        <v/>
      </c>
      <c r="BG159" s="190" t="str">
        <f>IF(Table2[[#This Row],[Counter Number]]="","",Table2[[#This Row],[Annual Miles Traveled:]]*VLOOKUP(Table2[[#This Row],[Engine Model Year:]],EF!$A$2:$G$27,4,FALSE))</f>
        <v/>
      </c>
      <c r="BH159" s="173" t="str">
        <f>IF(Table2[[#This Row],[Counter Number]]="","",Table2[[#This Row],[Annual Miles Traveled:]]*IF(Table2[[#This Row],[New Engine Fuel Type:]]="ULSD",VLOOKUP(Table2[[#This Row],[New Engine Model Year:]],EFTable[],4,FALSE),VLOOKUP(Table2[[#This Row],[New Engine Fuel Type:]],EFTable[],4,FALSE)))</f>
        <v/>
      </c>
      <c r="BI159" s="191" t="str">
        <f>IF(Table2[[#This Row],[Counter Number]]="","",Table2[[#This Row],[Old Bus PM2.5 Emissions (tons/yr)]]-Table2[[#This Row],[New Bus PM2.5 Emissions (tons/yr)]])</f>
        <v/>
      </c>
      <c r="BJ159" s="192" t="str">
        <f>IF(Table2[[#This Row],[Counter Number]]="","",Table2[[#This Row],[Reduction Bus PM2.5 Emissions (tons/yr)]]/Table2[[#This Row],[Old Bus PM2.5 Emissions (tons/yr)]])</f>
        <v/>
      </c>
      <c r="BK159" s="193" t="str">
        <f>IF(Table2[[#This Row],[Counter Number]]="","",Table2[[#This Row],[Reduction Bus PM2.5 Emissions (tons/yr)]]*Table2[[#This Row],[Remaining Life:]])</f>
        <v/>
      </c>
      <c r="BL159" s="194" t="str">
        <f>IF(Table2[[#This Row],[Counter Number]]="","",IF(Table2[[#This Row],[Lifetime PM2.5 Reduction (tons)]]=0,"NA",Table2[[#This Row],[Upgrade Cost Per Unit]]/Table2[[#This Row],[Lifetime PM2.5 Reduction (tons)]]))</f>
        <v/>
      </c>
      <c r="BM159" s="179" t="str">
        <f>IF(Table2[[#This Row],[Counter Number]]="","",Table2[[#This Row],[Annual Miles Traveled:]]*VLOOKUP(Table2[[#This Row],[Engine Model Year:]],EF!$A$2:$G$40,5,FALSE))</f>
        <v/>
      </c>
      <c r="BN159" s="173" t="str">
        <f>IF(Table2[[#This Row],[Counter Number]]="","",Table2[[#This Row],[Annual Miles Traveled:]]*IF(Table2[[#This Row],[New Engine Fuel Type:]]="ULSD",VLOOKUP(Table2[[#This Row],[New Engine Model Year:]],EFTable[],5,FALSE),VLOOKUP(Table2[[#This Row],[New Engine Fuel Type:]],EFTable[],5,FALSE)))</f>
        <v/>
      </c>
      <c r="BO159" s="190" t="str">
        <f>IF(Table2[[#This Row],[Counter Number]]="","",Table2[[#This Row],[Old Bus HC Emissions (tons/yr)]]-Table2[[#This Row],[New Bus HC Emissions (tons/yr)]])</f>
        <v/>
      </c>
      <c r="BP159" s="188" t="str">
        <f>IF(Table2[[#This Row],[Counter Number]]="","",Table2[[#This Row],[Reduction Bus HC Emissions (tons/yr)]]/Table2[[#This Row],[Old Bus HC Emissions (tons/yr)]])</f>
        <v/>
      </c>
      <c r="BQ159" s="193" t="str">
        <f>IF(Table2[[#This Row],[Counter Number]]="","",Table2[[#This Row],[Reduction Bus HC Emissions (tons/yr)]]*Table2[[#This Row],[Remaining Life:]])</f>
        <v/>
      </c>
      <c r="BR159" s="194" t="str">
        <f>IF(Table2[[#This Row],[Counter Number]]="","",IF(Table2[[#This Row],[Lifetime HC Reduction (tons)]]=0,"NA",Table2[[#This Row],[Upgrade Cost Per Unit]]/Table2[[#This Row],[Lifetime HC Reduction (tons)]]))</f>
        <v/>
      </c>
      <c r="BS159" s="191" t="str">
        <f>IF(Table2[[#This Row],[Counter Number]]="","",Table2[[#This Row],[Annual Miles Traveled:]]*VLOOKUP(Table2[[#This Row],[Engine Model Year:]],EF!$A$2:$G$27,6,FALSE))</f>
        <v/>
      </c>
      <c r="BT159" s="173" t="str">
        <f>IF(Table2[[#This Row],[Counter Number]]="","",Table2[[#This Row],[Annual Miles Traveled:]]*IF(Table2[[#This Row],[New Engine Fuel Type:]]="ULSD",VLOOKUP(Table2[[#This Row],[New Engine Model Year:]],EFTable[],6,FALSE),VLOOKUP(Table2[[#This Row],[New Engine Fuel Type:]],EFTable[],6,FALSE)))</f>
        <v/>
      </c>
      <c r="BU159" s="190" t="str">
        <f>IF(Table2[[#This Row],[Counter Number]]="","",Table2[[#This Row],[Old Bus CO Emissions (tons/yr)]]-Table2[[#This Row],[New Bus CO Emissions (tons/yr)]])</f>
        <v/>
      </c>
      <c r="BV159" s="188" t="str">
        <f>IF(Table2[[#This Row],[Counter Number]]="","",Table2[[#This Row],[Reduction Bus CO Emissions (tons/yr)]]/Table2[[#This Row],[Old Bus CO Emissions (tons/yr)]])</f>
        <v/>
      </c>
      <c r="BW159" s="193" t="str">
        <f>IF(Table2[[#This Row],[Counter Number]]="","",Table2[[#This Row],[Reduction Bus CO Emissions (tons/yr)]]*Table2[[#This Row],[Remaining Life:]])</f>
        <v/>
      </c>
      <c r="BX159" s="194" t="str">
        <f>IF(Table2[[#This Row],[Counter Number]]="","",IF(Table2[[#This Row],[Lifetime CO Reduction (tons)]]=0,"NA",Table2[[#This Row],[Upgrade Cost Per Unit]]/Table2[[#This Row],[Lifetime CO Reduction (tons)]]))</f>
        <v/>
      </c>
      <c r="BY159" s="180" t="str">
        <f>IF(Table2[[#This Row],[Counter Number]]="","",Table2[[#This Row],[Old ULSD Used (gal):]]*VLOOKUP(Table2[[#This Row],[Engine Model Year:]],EF!$A$2:$G$27,7,FALSE))</f>
        <v/>
      </c>
      <c r="BZ15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9" s="195" t="str">
        <f>IF(Table2[[#This Row],[Counter Number]]="","",Table2[[#This Row],[Old Bus CO2 Emissions (tons/yr)]]-Table2[[#This Row],[New Bus CO2 Emissions (tons/yr)]])</f>
        <v/>
      </c>
      <c r="CB159" s="188" t="str">
        <f>IF(Table2[[#This Row],[Counter Number]]="","",Table2[[#This Row],[Reduction Bus CO2 Emissions (tons/yr)]]/Table2[[#This Row],[Old Bus CO2 Emissions (tons/yr)]])</f>
        <v/>
      </c>
      <c r="CC159" s="195" t="str">
        <f>IF(Table2[[#This Row],[Counter Number]]="","",Table2[[#This Row],[Reduction Bus CO2 Emissions (tons/yr)]]*Table2[[#This Row],[Remaining Life:]])</f>
        <v/>
      </c>
      <c r="CD159" s="194" t="str">
        <f>IF(Table2[[#This Row],[Counter Number]]="","",IF(Table2[[#This Row],[Lifetime CO2 Reduction (tons)]]=0,"NA",Table2[[#This Row],[Upgrade Cost Per Unit]]/Table2[[#This Row],[Lifetime CO2 Reduction (tons)]]))</f>
        <v/>
      </c>
      <c r="CE159" s="182" t="str">
        <f>IF(Table2[[#This Row],[Counter Number]]="","",IF(Table2[[#This Row],[New ULSD Used (gal):]]="",Table2[[#This Row],[Old ULSD Used (gal):]],Table2[[#This Row],[Old ULSD Used (gal):]]-Table2[[#This Row],[New ULSD Used (gal):]]))</f>
        <v/>
      </c>
      <c r="CF159" s="196" t="str">
        <f>IF(Table2[[#This Row],[Counter Number]]="","",Table2[[#This Row],[Diesel Fuel Reduction (gal/yr)]]/Table2[[#This Row],[Old ULSD Used (gal):]])</f>
        <v/>
      </c>
      <c r="CG159" s="197" t="str">
        <f>IF(Table2[[#This Row],[Counter Number]]="","",Table2[[#This Row],[Diesel Fuel Reduction (gal/yr)]]*Table2[[#This Row],[Remaining Life:]])</f>
        <v/>
      </c>
    </row>
    <row r="160" spans="1:85">
      <c r="A160" s="184" t="str">
        <f>IF(A159&lt;Application!$D$24,A159+1,"")</f>
        <v/>
      </c>
      <c r="B160" s="60" t="str">
        <f>IF(Table2[[#This Row],[Counter Number]]="","",Application!$D$16)</f>
        <v/>
      </c>
      <c r="C160" s="60" t="str">
        <f>IF(Table2[[#This Row],[Counter Number]]="","",Application!$D$14)</f>
        <v/>
      </c>
      <c r="D160" s="60" t="str">
        <f>IF(Table2[[#This Row],[Counter Number]]="","",Table1[[#This Row],[Old Bus Number]])</f>
        <v/>
      </c>
      <c r="E160" s="60" t="str">
        <f>IF(Table2[[#This Row],[Counter Number]]="","",Application!$D$15)</f>
        <v/>
      </c>
      <c r="F160" s="60" t="str">
        <f>IF(Table2[[#This Row],[Counter Number]]="","","On Highway")</f>
        <v/>
      </c>
      <c r="G160" s="60" t="str">
        <f>IF(Table2[[#This Row],[Counter Number]]="","",I160)</f>
        <v/>
      </c>
      <c r="H160" s="60" t="str">
        <f>IF(Table2[[#This Row],[Counter Number]]="","","Georgia")</f>
        <v/>
      </c>
      <c r="I160" s="60" t="str">
        <f>IF(Table2[[#This Row],[Counter Number]]="","",Application!$D$16)</f>
        <v/>
      </c>
      <c r="J160" s="60" t="str">
        <f>IF(Table2[[#This Row],[Counter Number]]="","",Application!$D$21)</f>
        <v/>
      </c>
      <c r="K160" s="60" t="str">
        <f>IF(Table2[[#This Row],[Counter Number]]="","",Application!$J$21)</f>
        <v/>
      </c>
      <c r="L160" s="60" t="str">
        <f>IF(Table2[[#This Row],[Counter Number]]="","","School Bus")</f>
        <v/>
      </c>
      <c r="M160" s="60" t="str">
        <f>IF(Table2[[#This Row],[Counter Number]]="","","School Bus")</f>
        <v/>
      </c>
      <c r="N160" s="60" t="str">
        <f>IF(Table2[[#This Row],[Counter Number]]="","",1)</f>
        <v/>
      </c>
      <c r="O160" s="60" t="str">
        <f>IF(Table2[[#This Row],[Counter Number]]="","",Table1[[#This Row],[Vehicle Identification Number(s):]])</f>
        <v/>
      </c>
      <c r="P160" s="60" t="str">
        <f>IF(Table2[[#This Row],[Counter Number]]="","",Table1[[#This Row],[Old Bus Manufacturer:]])</f>
        <v/>
      </c>
      <c r="Q160" s="60" t="str">
        <f>IF(Table2[[#This Row],[Counter Number]]="","",Table1[[#This Row],[Vehicle Model:]])</f>
        <v/>
      </c>
      <c r="R160" s="165" t="str">
        <f>IF(Table2[[#This Row],[Counter Number]]="","",Table1[[#This Row],[Vehicle Model Year:]])</f>
        <v/>
      </c>
      <c r="S160" s="60" t="str">
        <f>IF(Table2[[#This Row],[Counter Number]]="","",Table1[[#This Row],[Engine Serial Number(s):]])</f>
        <v/>
      </c>
      <c r="T160" s="60" t="str">
        <f>IF(Table2[[#This Row],[Counter Number]]="","",Table1[[#This Row],[Engine Make:]])</f>
        <v/>
      </c>
      <c r="U160" s="60" t="str">
        <f>IF(Table2[[#This Row],[Counter Number]]="","",Table1[[#This Row],[Engine Model:]])</f>
        <v/>
      </c>
      <c r="V160" s="165" t="str">
        <f>IF(Table2[[#This Row],[Counter Number]]="","",Table1[[#This Row],[Engine Model Year:]])</f>
        <v/>
      </c>
      <c r="W160" s="60" t="str">
        <f>IF(Table2[[#This Row],[Counter Number]]="","","NA")</f>
        <v/>
      </c>
      <c r="X160" s="165" t="str">
        <f>IF(Table2[[#This Row],[Counter Number]]="","",Table1[[#This Row],[Engine Horsepower (HP):]])</f>
        <v/>
      </c>
      <c r="Y160" s="165" t="str">
        <f>IF(Table2[[#This Row],[Counter Number]]="","",Table1[[#This Row],[Engine Cylinder Displacement (L):]]&amp;" L")</f>
        <v/>
      </c>
      <c r="Z160" s="165" t="str">
        <f>IF(Table2[[#This Row],[Counter Number]]="","",Table1[[#This Row],[Engine Number of Cylinders:]])</f>
        <v/>
      </c>
      <c r="AA160" s="166" t="str">
        <f>IF(Table2[[#This Row],[Counter Number]]="","",Table1[[#This Row],[Engine Family Name:]])</f>
        <v/>
      </c>
      <c r="AB160" s="60" t="str">
        <f>IF(Table2[[#This Row],[Counter Number]]="","","ULSD")</f>
        <v/>
      </c>
      <c r="AC160" s="167" t="str">
        <f>IF(Table2[[#This Row],[Counter Number]]="","",Table2[[#This Row],[Annual Miles Traveled:]]/Table1[[#This Row],[Old Fuel (mpg)]])</f>
        <v/>
      </c>
      <c r="AD160" s="60" t="str">
        <f>IF(Table2[[#This Row],[Counter Number]]="","","NA")</f>
        <v/>
      </c>
      <c r="AE160" s="168" t="str">
        <f>IF(Table2[[#This Row],[Counter Number]]="","",Table1[[#This Row],[Annual Miles Traveled]])</f>
        <v/>
      </c>
      <c r="AF160" s="169" t="str">
        <f>IF(Table2[[#This Row],[Counter Number]]="","",Table1[[#This Row],[Annual Idling Hours:]])</f>
        <v/>
      </c>
      <c r="AG160" s="60" t="str">
        <f>IF(Table2[[#This Row],[Counter Number]]="","","NA")</f>
        <v/>
      </c>
      <c r="AH160" s="165" t="str">
        <f>IF(Table2[[#This Row],[Counter Number]]="","",IF(Application!$J$25="Set Policy",Table1[[#This Row],[Remaining Life (years)         Set Policy]],Table1[[#This Row],[Remaining Life (years)               Case-by-Case]]))</f>
        <v/>
      </c>
      <c r="AI160" s="165" t="str">
        <f>IF(Table2[[#This Row],[Counter Number]]="","",IF(Application!$J$25="Case-by-Case","NA",Table2[[#This Row],[Fiscal Year of EPA Funds Used:]]+Table2[[#This Row],[Remaining Life:]]))</f>
        <v/>
      </c>
      <c r="AJ160" s="165"/>
      <c r="AK160" s="170" t="str">
        <f>IF(Table2[[#This Row],[Counter Number]]="","",Application!$D$14+1)</f>
        <v/>
      </c>
      <c r="AL160" s="60" t="str">
        <f>IF(Table2[[#This Row],[Counter Number]]="","","Vehicle Replacement")</f>
        <v/>
      </c>
      <c r="AM16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0" s="171" t="str">
        <f>IF(Table2[[#This Row],[Counter Number]]="","",Table1[[#This Row],[Cost of New Bus:]])</f>
        <v/>
      </c>
      <c r="AO160" s="60" t="str">
        <f>IF(Table2[[#This Row],[Counter Number]]="","","NA")</f>
        <v/>
      </c>
      <c r="AP160" s="165" t="str">
        <f>IF(Table2[[#This Row],[Counter Number]]="","",Table1[[#This Row],[New Engine Model Year:]])</f>
        <v/>
      </c>
      <c r="AQ160" s="60" t="str">
        <f>IF(Table2[[#This Row],[Counter Number]]="","","NA")</f>
        <v/>
      </c>
      <c r="AR160" s="165" t="str">
        <f>IF(Table2[[#This Row],[Counter Number]]="","",Table1[[#This Row],[New Engine Horsepower (HP):]])</f>
        <v/>
      </c>
      <c r="AS160" s="60" t="str">
        <f>IF(Table2[[#This Row],[Counter Number]]="","","NA")</f>
        <v/>
      </c>
      <c r="AT160" s="165" t="str">
        <f>IF(Table2[[#This Row],[Counter Number]]="","",Table1[[#This Row],[New Engine Cylinder Displacement (L):]]&amp;" L")</f>
        <v/>
      </c>
      <c r="AU160" s="114" t="str">
        <f>IF(Table2[[#This Row],[Counter Number]]="","",Table1[[#This Row],[New Engine Number of Cylinders:]])</f>
        <v/>
      </c>
      <c r="AV160" s="60" t="str">
        <f>IF(Table2[[#This Row],[Counter Number]]="","",Table1[[#This Row],[New Engine Family Name:]])</f>
        <v/>
      </c>
      <c r="AW16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0" s="60" t="str">
        <f>IF(Table2[[#This Row],[Counter Number]]="","","NA")</f>
        <v/>
      </c>
      <c r="AY160" s="172" t="str">
        <f>IF(Table2[[#This Row],[Counter Number]]="","",IF(Table2[[#This Row],[New Engine Fuel Type:]]="ULSD",Table1[[#This Row],[Annual Miles Traveled]]/Table1[[#This Row],[New Fuel (mpg) if Diesel]],""))</f>
        <v/>
      </c>
      <c r="AZ160" s="60"/>
      <c r="BA160" s="173" t="str">
        <f>IF(Table2[[#This Row],[Counter Number]]="","",Table2[[#This Row],[Annual Miles Traveled:]]*VLOOKUP(Table2[[#This Row],[Engine Model Year:]],EFTable[],3,FALSE))</f>
        <v/>
      </c>
      <c r="BB160" s="173" t="str">
        <f>IF(Table2[[#This Row],[Counter Number]]="","",Table2[[#This Row],[Annual Miles Traveled:]]*IF(Table2[[#This Row],[New Engine Fuel Type:]]="ULSD",VLOOKUP(Table2[[#This Row],[New Engine Model Year:]],EFTable[],3,FALSE),VLOOKUP(Table2[[#This Row],[New Engine Fuel Type:]],EFTable[],3,FALSE)))</f>
        <v/>
      </c>
      <c r="BC160" s="187" t="str">
        <f>IF(Table2[[#This Row],[Counter Number]]="","",Table2[[#This Row],[Old Bus NOx Emissions (tons/yr)]]-Table2[[#This Row],[New Bus NOx Emissions (tons/yr)]])</f>
        <v/>
      </c>
      <c r="BD160" s="188" t="str">
        <f>IF(Table2[[#This Row],[Counter Number]]="","",Table2[[#This Row],[Reduction Bus NOx Emissions (tons/yr)]]/Table2[[#This Row],[Old Bus NOx Emissions (tons/yr)]])</f>
        <v/>
      </c>
      <c r="BE160" s="175" t="str">
        <f>IF(Table2[[#This Row],[Counter Number]]="","",Table2[[#This Row],[Reduction Bus NOx Emissions (tons/yr)]]*Table2[[#This Row],[Remaining Life:]])</f>
        <v/>
      </c>
      <c r="BF160" s="189" t="str">
        <f>IF(Table2[[#This Row],[Counter Number]]="","",IF(Table2[[#This Row],[Lifetime NOx Reduction (tons)]]=0,"NA",Table2[[#This Row],[Upgrade Cost Per Unit]]/Table2[[#This Row],[Lifetime NOx Reduction (tons)]]))</f>
        <v/>
      </c>
      <c r="BG160" s="190" t="str">
        <f>IF(Table2[[#This Row],[Counter Number]]="","",Table2[[#This Row],[Annual Miles Traveled:]]*VLOOKUP(Table2[[#This Row],[Engine Model Year:]],EF!$A$2:$G$27,4,FALSE))</f>
        <v/>
      </c>
      <c r="BH160" s="173" t="str">
        <f>IF(Table2[[#This Row],[Counter Number]]="","",Table2[[#This Row],[Annual Miles Traveled:]]*IF(Table2[[#This Row],[New Engine Fuel Type:]]="ULSD",VLOOKUP(Table2[[#This Row],[New Engine Model Year:]],EFTable[],4,FALSE),VLOOKUP(Table2[[#This Row],[New Engine Fuel Type:]],EFTable[],4,FALSE)))</f>
        <v/>
      </c>
      <c r="BI160" s="191" t="str">
        <f>IF(Table2[[#This Row],[Counter Number]]="","",Table2[[#This Row],[Old Bus PM2.5 Emissions (tons/yr)]]-Table2[[#This Row],[New Bus PM2.5 Emissions (tons/yr)]])</f>
        <v/>
      </c>
      <c r="BJ160" s="192" t="str">
        <f>IF(Table2[[#This Row],[Counter Number]]="","",Table2[[#This Row],[Reduction Bus PM2.5 Emissions (tons/yr)]]/Table2[[#This Row],[Old Bus PM2.5 Emissions (tons/yr)]])</f>
        <v/>
      </c>
      <c r="BK160" s="193" t="str">
        <f>IF(Table2[[#This Row],[Counter Number]]="","",Table2[[#This Row],[Reduction Bus PM2.5 Emissions (tons/yr)]]*Table2[[#This Row],[Remaining Life:]])</f>
        <v/>
      </c>
      <c r="BL160" s="194" t="str">
        <f>IF(Table2[[#This Row],[Counter Number]]="","",IF(Table2[[#This Row],[Lifetime PM2.5 Reduction (tons)]]=0,"NA",Table2[[#This Row],[Upgrade Cost Per Unit]]/Table2[[#This Row],[Lifetime PM2.5 Reduction (tons)]]))</f>
        <v/>
      </c>
      <c r="BM160" s="179" t="str">
        <f>IF(Table2[[#This Row],[Counter Number]]="","",Table2[[#This Row],[Annual Miles Traveled:]]*VLOOKUP(Table2[[#This Row],[Engine Model Year:]],EF!$A$2:$G$40,5,FALSE))</f>
        <v/>
      </c>
      <c r="BN160" s="173" t="str">
        <f>IF(Table2[[#This Row],[Counter Number]]="","",Table2[[#This Row],[Annual Miles Traveled:]]*IF(Table2[[#This Row],[New Engine Fuel Type:]]="ULSD",VLOOKUP(Table2[[#This Row],[New Engine Model Year:]],EFTable[],5,FALSE),VLOOKUP(Table2[[#This Row],[New Engine Fuel Type:]],EFTable[],5,FALSE)))</f>
        <v/>
      </c>
      <c r="BO160" s="190" t="str">
        <f>IF(Table2[[#This Row],[Counter Number]]="","",Table2[[#This Row],[Old Bus HC Emissions (tons/yr)]]-Table2[[#This Row],[New Bus HC Emissions (tons/yr)]])</f>
        <v/>
      </c>
      <c r="BP160" s="188" t="str">
        <f>IF(Table2[[#This Row],[Counter Number]]="","",Table2[[#This Row],[Reduction Bus HC Emissions (tons/yr)]]/Table2[[#This Row],[Old Bus HC Emissions (tons/yr)]])</f>
        <v/>
      </c>
      <c r="BQ160" s="193" t="str">
        <f>IF(Table2[[#This Row],[Counter Number]]="","",Table2[[#This Row],[Reduction Bus HC Emissions (tons/yr)]]*Table2[[#This Row],[Remaining Life:]])</f>
        <v/>
      </c>
      <c r="BR160" s="194" t="str">
        <f>IF(Table2[[#This Row],[Counter Number]]="","",IF(Table2[[#This Row],[Lifetime HC Reduction (tons)]]=0,"NA",Table2[[#This Row],[Upgrade Cost Per Unit]]/Table2[[#This Row],[Lifetime HC Reduction (tons)]]))</f>
        <v/>
      </c>
      <c r="BS160" s="191" t="str">
        <f>IF(Table2[[#This Row],[Counter Number]]="","",Table2[[#This Row],[Annual Miles Traveled:]]*VLOOKUP(Table2[[#This Row],[Engine Model Year:]],EF!$A$2:$G$27,6,FALSE))</f>
        <v/>
      </c>
      <c r="BT160" s="173" t="str">
        <f>IF(Table2[[#This Row],[Counter Number]]="","",Table2[[#This Row],[Annual Miles Traveled:]]*IF(Table2[[#This Row],[New Engine Fuel Type:]]="ULSD",VLOOKUP(Table2[[#This Row],[New Engine Model Year:]],EFTable[],6,FALSE),VLOOKUP(Table2[[#This Row],[New Engine Fuel Type:]],EFTable[],6,FALSE)))</f>
        <v/>
      </c>
      <c r="BU160" s="190" t="str">
        <f>IF(Table2[[#This Row],[Counter Number]]="","",Table2[[#This Row],[Old Bus CO Emissions (tons/yr)]]-Table2[[#This Row],[New Bus CO Emissions (tons/yr)]])</f>
        <v/>
      </c>
      <c r="BV160" s="188" t="str">
        <f>IF(Table2[[#This Row],[Counter Number]]="","",Table2[[#This Row],[Reduction Bus CO Emissions (tons/yr)]]/Table2[[#This Row],[Old Bus CO Emissions (tons/yr)]])</f>
        <v/>
      </c>
      <c r="BW160" s="193" t="str">
        <f>IF(Table2[[#This Row],[Counter Number]]="","",Table2[[#This Row],[Reduction Bus CO Emissions (tons/yr)]]*Table2[[#This Row],[Remaining Life:]])</f>
        <v/>
      </c>
      <c r="BX160" s="194" t="str">
        <f>IF(Table2[[#This Row],[Counter Number]]="","",IF(Table2[[#This Row],[Lifetime CO Reduction (tons)]]=0,"NA",Table2[[#This Row],[Upgrade Cost Per Unit]]/Table2[[#This Row],[Lifetime CO Reduction (tons)]]))</f>
        <v/>
      </c>
      <c r="BY160" s="180" t="str">
        <f>IF(Table2[[#This Row],[Counter Number]]="","",Table2[[#This Row],[Old ULSD Used (gal):]]*VLOOKUP(Table2[[#This Row],[Engine Model Year:]],EF!$A$2:$G$27,7,FALSE))</f>
        <v/>
      </c>
      <c r="BZ16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0" s="195" t="str">
        <f>IF(Table2[[#This Row],[Counter Number]]="","",Table2[[#This Row],[Old Bus CO2 Emissions (tons/yr)]]-Table2[[#This Row],[New Bus CO2 Emissions (tons/yr)]])</f>
        <v/>
      </c>
      <c r="CB160" s="188" t="str">
        <f>IF(Table2[[#This Row],[Counter Number]]="","",Table2[[#This Row],[Reduction Bus CO2 Emissions (tons/yr)]]/Table2[[#This Row],[Old Bus CO2 Emissions (tons/yr)]])</f>
        <v/>
      </c>
      <c r="CC160" s="195" t="str">
        <f>IF(Table2[[#This Row],[Counter Number]]="","",Table2[[#This Row],[Reduction Bus CO2 Emissions (tons/yr)]]*Table2[[#This Row],[Remaining Life:]])</f>
        <v/>
      </c>
      <c r="CD160" s="194" t="str">
        <f>IF(Table2[[#This Row],[Counter Number]]="","",IF(Table2[[#This Row],[Lifetime CO2 Reduction (tons)]]=0,"NA",Table2[[#This Row],[Upgrade Cost Per Unit]]/Table2[[#This Row],[Lifetime CO2 Reduction (tons)]]))</f>
        <v/>
      </c>
      <c r="CE160" s="182" t="str">
        <f>IF(Table2[[#This Row],[Counter Number]]="","",IF(Table2[[#This Row],[New ULSD Used (gal):]]="",Table2[[#This Row],[Old ULSD Used (gal):]],Table2[[#This Row],[Old ULSD Used (gal):]]-Table2[[#This Row],[New ULSD Used (gal):]]))</f>
        <v/>
      </c>
      <c r="CF160" s="196" t="str">
        <f>IF(Table2[[#This Row],[Counter Number]]="","",Table2[[#This Row],[Diesel Fuel Reduction (gal/yr)]]/Table2[[#This Row],[Old ULSD Used (gal):]])</f>
        <v/>
      </c>
      <c r="CG160" s="197" t="str">
        <f>IF(Table2[[#This Row],[Counter Number]]="","",Table2[[#This Row],[Diesel Fuel Reduction (gal/yr)]]*Table2[[#This Row],[Remaining Life:]])</f>
        <v/>
      </c>
    </row>
    <row r="161" spans="1:85">
      <c r="A161" s="184" t="str">
        <f>IF(A160&lt;Application!$D$24,A160+1,"")</f>
        <v/>
      </c>
      <c r="B161" s="60" t="str">
        <f>IF(Table2[[#This Row],[Counter Number]]="","",Application!$D$16)</f>
        <v/>
      </c>
      <c r="C161" s="60" t="str">
        <f>IF(Table2[[#This Row],[Counter Number]]="","",Application!$D$14)</f>
        <v/>
      </c>
      <c r="D161" s="60" t="str">
        <f>IF(Table2[[#This Row],[Counter Number]]="","",Table1[[#This Row],[Old Bus Number]])</f>
        <v/>
      </c>
      <c r="E161" s="60" t="str">
        <f>IF(Table2[[#This Row],[Counter Number]]="","",Application!$D$15)</f>
        <v/>
      </c>
      <c r="F161" s="60" t="str">
        <f>IF(Table2[[#This Row],[Counter Number]]="","","On Highway")</f>
        <v/>
      </c>
      <c r="G161" s="60" t="str">
        <f>IF(Table2[[#This Row],[Counter Number]]="","",I161)</f>
        <v/>
      </c>
      <c r="H161" s="60" t="str">
        <f>IF(Table2[[#This Row],[Counter Number]]="","","Georgia")</f>
        <v/>
      </c>
      <c r="I161" s="60" t="str">
        <f>IF(Table2[[#This Row],[Counter Number]]="","",Application!$D$16)</f>
        <v/>
      </c>
      <c r="J161" s="60" t="str">
        <f>IF(Table2[[#This Row],[Counter Number]]="","",Application!$D$21)</f>
        <v/>
      </c>
      <c r="K161" s="60" t="str">
        <f>IF(Table2[[#This Row],[Counter Number]]="","",Application!$J$21)</f>
        <v/>
      </c>
      <c r="L161" s="60" t="str">
        <f>IF(Table2[[#This Row],[Counter Number]]="","","School Bus")</f>
        <v/>
      </c>
      <c r="M161" s="60" t="str">
        <f>IF(Table2[[#This Row],[Counter Number]]="","","School Bus")</f>
        <v/>
      </c>
      <c r="N161" s="60" t="str">
        <f>IF(Table2[[#This Row],[Counter Number]]="","",1)</f>
        <v/>
      </c>
      <c r="O161" s="60" t="str">
        <f>IF(Table2[[#This Row],[Counter Number]]="","",Table1[[#This Row],[Vehicle Identification Number(s):]])</f>
        <v/>
      </c>
      <c r="P161" s="60" t="str">
        <f>IF(Table2[[#This Row],[Counter Number]]="","",Table1[[#This Row],[Old Bus Manufacturer:]])</f>
        <v/>
      </c>
      <c r="Q161" s="60" t="str">
        <f>IF(Table2[[#This Row],[Counter Number]]="","",Table1[[#This Row],[Vehicle Model:]])</f>
        <v/>
      </c>
      <c r="R161" s="165" t="str">
        <f>IF(Table2[[#This Row],[Counter Number]]="","",Table1[[#This Row],[Vehicle Model Year:]])</f>
        <v/>
      </c>
      <c r="S161" s="60" t="str">
        <f>IF(Table2[[#This Row],[Counter Number]]="","",Table1[[#This Row],[Engine Serial Number(s):]])</f>
        <v/>
      </c>
      <c r="T161" s="60" t="str">
        <f>IF(Table2[[#This Row],[Counter Number]]="","",Table1[[#This Row],[Engine Make:]])</f>
        <v/>
      </c>
      <c r="U161" s="60" t="str">
        <f>IF(Table2[[#This Row],[Counter Number]]="","",Table1[[#This Row],[Engine Model:]])</f>
        <v/>
      </c>
      <c r="V161" s="165" t="str">
        <f>IF(Table2[[#This Row],[Counter Number]]="","",Table1[[#This Row],[Engine Model Year:]])</f>
        <v/>
      </c>
      <c r="W161" s="60" t="str">
        <f>IF(Table2[[#This Row],[Counter Number]]="","","NA")</f>
        <v/>
      </c>
      <c r="X161" s="165" t="str">
        <f>IF(Table2[[#This Row],[Counter Number]]="","",Table1[[#This Row],[Engine Horsepower (HP):]])</f>
        <v/>
      </c>
      <c r="Y161" s="165" t="str">
        <f>IF(Table2[[#This Row],[Counter Number]]="","",Table1[[#This Row],[Engine Cylinder Displacement (L):]]&amp;" L")</f>
        <v/>
      </c>
      <c r="Z161" s="165" t="str">
        <f>IF(Table2[[#This Row],[Counter Number]]="","",Table1[[#This Row],[Engine Number of Cylinders:]])</f>
        <v/>
      </c>
      <c r="AA161" s="166" t="str">
        <f>IF(Table2[[#This Row],[Counter Number]]="","",Table1[[#This Row],[Engine Family Name:]])</f>
        <v/>
      </c>
      <c r="AB161" s="60" t="str">
        <f>IF(Table2[[#This Row],[Counter Number]]="","","ULSD")</f>
        <v/>
      </c>
      <c r="AC161" s="167" t="str">
        <f>IF(Table2[[#This Row],[Counter Number]]="","",Table2[[#This Row],[Annual Miles Traveled:]]/Table1[[#This Row],[Old Fuel (mpg)]])</f>
        <v/>
      </c>
      <c r="AD161" s="60" t="str">
        <f>IF(Table2[[#This Row],[Counter Number]]="","","NA")</f>
        <v/>
      </c>
      <c r="AE161" s="168" t="str">
        <f>IF(Table2[[#This Row],[Counter Number]]="","",Table1[[#This Row],[Annual Miles Traveled]])</f>
        <v/>
      </c>
      <c r="AF161" s="169" t="str">
        <f>IF(Table2[[#This Row],[Counter Number]]="","",Table1[[#This Row],[Annual Idling Hours:]])</f>
        <v/>
      </c>
      <c r="AG161" s="60" t="str">
        <f>IF(Table2[[#This Row],[Counter Number]]="","","NA")</f>
        <v/>
      </c>
      <c r="AH161" s="165" t="str">
        <f>IF(Table2[[#This Row],[Counter Number]]="","",IF(Application!$J$25="Set Policy",Table1[[#This Row],[Remaining Life (years)         Set Policy]],Table1[[#This Row],[Remaining Life (years)               Case-by-Case]]))</f>
        <v/>
      </c>
      <c r="AI161" s="165" t="str">
        <f>IF(Table2[[#This Row],[Counter Number]]="","",IF(Application!$J$25="Case-by-Case","NA",Table2[[#This Row],[Fiscal Year of EPA Funds Used:]]+Table2[[#This Row],[Remaining Life:]]))</f>
        <v/>
      </c>
      <c r="AJ161" s="165"/>
      <c r="AK161" s="170" t="str">
        <f>IF(Table2[[#This Row],[Counter Number]]="","",Application!$D$14+1)</f>
        <v/>
      </c>
      <c r="AL161" s="60" t="str">
        <f>IF(Table2[[#This Row],[Counter Number]]="","","Vehicle Replacement")</f>
        <v/>
      </c>
      <c r="AM16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1" s="171" t="str">
        <f>IF(Table2[[#This Row],[Counter Number]]="","",Table1[[#This Row],[Cost of New Bus:]])</f>
        <v/>
      </c>
      <c r="AO161" s="60" t="str">
        <f>IF(Table2[[#This Row],[Counter Number]]="","","NA")</f>
        <v/>
      </c>
      <c r="AP161" s="165" t="str">
        <f>IF(Table2[[#This Row],[Counter Number]]="","",Table1[[#This Row],[New Engine Model Year:]])</f>
        <v/>
      </c>
      <c r="AQ161" s="60" t="str">
        <f>IF(Table2[[#This Row],[Counter Number]]="","","NA")</f>
        <v/>
      </c>
      <c r="AR161" s="165" t="str">
        <f>IF(Table2[[#This Row],[Counter Number]]="","",Table1[[#This Row],[New Engine Horsepower (HP):]])</f>
        <v/>
      </c>
      <c r="AS161" s="60" t="str">
        <f>IF(Table2[[#This Row],[Counter Number]]="","","NA")</f>
        <v/>
      </c>
      <c r="AT161" s="165" t="str">
        <f>IF(Table2[[#This Row],[Counter Number]]="","",Table1[[#This Row],[New Engine Cylinder Displacement (L):]]&amp;" L")</f>
        <v/>
      </c>
      <c r="AU161" s="114" t="str">
        <f>IF(Table2[[#This Row],[Counter Number]]="","",Table1[[#This Row],[New Engine Number of Cylinders:]])</f>
        <v/>
      </c>
      <c r="AV161" s="60" t="str">
        <f>IF(Table2[[#This Row],[Counter Number]]="","",Table1[[#This Row],[New Engine Family Name:]])</f>
        <v/>
      </c>
      <c r="AW16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1" s="60" t="str">
        <f>IF(Table2[[#This Row],[Counter Number]]="","","NA")</f>
        <v/>
      </c>
      <c r="AY161" s="172" t="str">
        <f>IF(Table2[[#This Row],[Counter Number]]="","",IF(Table2[[#This Row],[New Engine Fuel Type:]]="ULSD",Table1[[#This Row],[Annual Miles Traveled]]/Table1[[#This Row],[New Fuel (mpg) if Diesel]],""))</f>
        <v/>
      </c>
      <c r="AZ161" s="60"/>
      <c r="BA161" s="173" t="str">
        <f>IF(Table2[[#This Row],[Counter Number]]="","",Table2[[#This Row],[Annual Miles Traveled:]]*VLOOKUP(Table2[[#This Row],[Engine Model Year:]],EFTable[],3,FALSE))</f>
        <v/>
      </c>
      <c r="BB161" s="173" t="str">
        <f>IF(Table2[[#This Row],[Counter Number]]="","",Table2[[#This Row],[Annual Miles Traveled:]]*IF(Table2[[#This Row],[New Engine Fuel Type:]]="ULSD",VLOOKUP(Table2[[#This Row],[New Engine Model Year:]],EFTable[],3,FALSE),VLOOKUP(Table2[[#This Row],[New Engine Fuel Type:]],EFTable[],3,FALSE)))</f>
        <v/>
      </c>
      <c r="BC161" s="187" t="str">
        <f>IF(Table2[[#This Row],[Counter Number]]="","",Table2[[#This Row],[Old Bus NOx Emissions (tons/yr)]]-Table2[[#This Row],[New Bus NOx Emissions (tons/yr)]])</f>
        <v/>
      </c>
      <c r="BD161" s="188" t="str">
        <f>IF(Table2[[#This Row],[Counter Number]]="","",Table2[[#This Row],[Reduction Bus NOx Emissions (tons/yr)]]/Table2[[#This Row],[Old Bus NOx Emissions (tons/yr)]])</f>
        <v/>
      </c>
      <c r="BE161" s="175" t="str">
        <f>IF(Table2[[#This Row],[Counter Number]]="","",Table2[[#This Row],[Reduction Bus NOx Emissions (tons/yr)]]*Table2[[#This Row],[Remaining Life:]])</f>
        <v/>
      </c>
      <c r="BF161" s="189" t="str">
        <f>IF(Table2[[#This Row],[Counter Number]]="","",IF(Table2[[#This Row],[Lifetime NOx Reduction (tons)]]=0,"NA",Table2[[#This Row],[Upgrade Cost Per Unit]]/Table2[[#This Row],[Lifetime NOx Reduction (tons)]]))</f>
        <v/>
      </c>
      <c r="BG161" s="190" t="str">
        <f>IF(Table2[[#This Row],[Counter Number]]="","",Table2[[#This Row],[Annual Miles Traveled:]]*VLOOKUP(Table2[[#This Row],[Engine Model Year:]],EF!$A$2:$G$27,4,FALSE))</f>
        <v/>
      </c>
      <c r="BH161" s="173" t="str">
        <f>IF(Table2[[#This Row],[Counter Number]]="","",Table2[[#This Row],[Annual Miles Traveled:]]*IF(Table2[[#This Row],[New Engine Fuel Type:]]="ULSD",VLOOKUP(Table2[[#This Row],[New Engine Model Year:]],EFTable[],4,FALSE),VLOOKUP(Table2[[#This Row],[New Engine Fuel Type:]],EFTable[],4,FALSE)))</f>
        <v/>
      </c>
      <c r="BI161" s="191" t="str">
        <f>IF(Table2[[#This Row],[Counter Number]]="","",Table2[[#This Row],[Old Bus PM2.5 Emissions (tons/yr)]]-Table2[[#This Row],[New Bus PM2.5 Emissions (tons/yr)]])</f>
        <v/>
      </c>
      <c r="BJ161" s="192" t="str">
        <f>IF(Table2[[#This Row],[Counter Number]]="","",Table2[[#This Row],[Reduction Bus PM2.5 Emissions (tons/yr)]]/Table2[[#This Row],[Old Bus PM2.5 Emissions (tons/yr)]])</f>
        <v/>
      </c>
      <c r="BK161" s="193" t="str">
        <f>IF(Table2[[#This Row],[Counter Number]]="","",Table2[[#This Row],[Reduction Bus PM2.5 Emissions (tons/yr)]]*Table2[[#This Row],[Remaining Life:]])</f>
        <v/>
      </c>
      <c r="BL161" s="194" t="str">
        <f>IF(Table2[[#This Row],[Counter Number]]="","",IF(Table2[[#This Row],[Lifetime PM2.5 Reduction (tons)]]=0,"NA",Table2[[#This Row],[Upgrade Cost Per Unit]]/Table2[[#This Row],[Lifetime PM2.5 Reduction (tons)]]))</f>
        <v/>
      </c>
      <c r="BM161" s="179" t="str">
        <f>IF(Table2[[#This Row],[Counter Number]]="","",Table2[[#This Row],[Annual Miles Traveled:]]*VLOOKUP(Table2[[#This Row],[Engine Model Year:]],EF!$A$2:$G$40,5,FALSE))</f>
        <v/>
      </c>
      <c r="BN161" s="173" t="str">
        <f>IF(Table2[[#This Row],[Counter Number]]="","",Table2[[#This Row],[Annual Miles Traveled:]]*IF(Table2[[#This Row],[New Engine Fuel Type:]]="ULSD",VLOOKUP(Table2[[#This Row],[New Engine Model Year:]],EFTable[],5,FALSE),VLOOKUP(Table2[[#This Row],[New Engine Fuel Type:]],EFTable[],5,FALSE)))</f>
        <v/>
      </c>
      <c r="BO161" s="190" t="str">
        <f>IF(Table2[[#This Row],[Counter Number]]="","",Table2[[#This Row],[Old Bus HC Emissions (tons/yr)]]-Table2[[#This Row],[New Bus HC Emissions (tons/yr)]])</f>
        <v/>
      </c>
      <c r="BP161" s="188" t="str">
        <f>IF(Table2[[#This Row],[Counter Number]]="","",Table2[[#This Row],[Reduction Bus HC Emissions (tons/yr)]]/Table2[[#This Row],[Old Bus HC Emissions (tons/yr)]])</f>
        <v/>
      </c>
      <c r="BQ161" s="193" t="str">
        <f>IF(Table2[[#This Row],[Counter Number]]="","",Table2[[#This Row],[Reduction Bus HC Emissions (tons/yr)]]*Table2[[#This Row],[Remaining Life:]])</f>
        <v/>
      </c>
      <c r="BR161" s="194" t="str">
        <f>IF(Table2[[#This Row],[Counter Number]]="","",IF(Table2[[#This Row],[Lifetime HC Reduction (tons)]]=0,"NA",Table2[[#This Row],[Upgrade Cost Per Unit]]/Table2[[#This Row],[Lifetime HC Reduction (tons)]]))</f>
        <v/>
      </c>
      <c r="BS161" s="191" t="str">
        <f>IF(Table2[[#This Row],[Counter Number]]="","",Table2[[#This Row],[Annual Miles Traveled:]]*VLOOKUP(Table2[[#This Row],[Engine Model Year:]],EF!$A$2:$G$27,6,FALSE))</f>
        <v/>
      </c>
      <c r="BT161" s="173" t="str">
        <f>IF(Table2[[#This Row],[Counter Number]]="","",Table2[[#This Row],[Annual Miles Traveled:]]*IF(Table2[[#This Row],[New Engine Fuel Type:]]="ULSD",VLOOKUP(Table2[[#This Row],[New Engine Model Year:]],EFTable[],6,FALSE),VLOOKUP(Table2[[#This Row],[New Engine Fuel Type:]],EFTable[],6,FALSE)))</f>
        <v/>
      </c>
      <c r="BU161" s="190" t="str">
        <f>IF(Table2[[#This Row],[Counter Number]]="","",Table2[[#This Row],[Old Bus CO Emissions (tons/yr)]]-Table2[[#This Row],[New Bus CO Emissions (tons/yr)]])</f>
        <v/>
      </c>
      <c r="BV161" s="188" t="str">
        <f>IF(Table2[[#This Row],[Counter Number]]="","",Table2[[#This Row],[Reduction Bus CO Emissions (tons/yr)]]/Table2[[#This Row],[Old Bus CO Emissions (tons/yr)]])</f>
        <v/>
      </c>
      <c r="BW161" s="193" t="str">
        <f>IF(Table2[[#This Row],[Counter Number]]="","",Table2[[#This Row],[Reduction Bus CO Emissions (tons/yr)]]*Table2[[#This Row],[Remaining Life:]])</f>
        <v/>
      </c>
      <c r="BX161" s="194" t="str">
        <f>IF(Table2[[#This Row],[Counter Number]]="","",IF(Table2[[#This Row],[Lifetime CO Reduction (tons)]]=0,"NA",Table2[[#This Row],[Upgrade Cost Per Unit]]/Table2[[#This Row],[Lifetime CO Reduction (tons)]]))</f>
        <v/>
      </c>
      <c r="BY161" s="180" t="str">
        <f>IF(Table2[[#This Row],[Counter Number]]="","",Table2[[#This Row],[Old ULSD Used (gal):]]*VLOOKUP(Table2[[#This Row],[Engine Model Year:]],EF!$A$2:$G$27,7,FALSE))</f>
        <v/>
      </c>
      <c r="BZ16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1" s="195" t="str">
        <f>IF(Table2[[#This Row],[Counter Number]]="","",Table2[[#This Row],[Old Bus CO2 Emissions (tons/yr)]]-Table2[[#This Row],[New Bus CO2 Emissions (tons/yr)]])</f>
        <v/>
      </c>
      <c r="CB161" s="188" t="str">
        <f>IF(Table2[[#This Row],[Counter Number]]="","",Table2[[#This Row],[Reduction Bus CO2 Emissions (tons/yr)]]/Table2[[#This Row],[Old Bus CO2 Emissions (tons/yr)]])</f>
        <v/>
      </c>
      <c r="CC161" s="195" t="str">
        <f>IF(Table2[[#This Row],[Counter Number]]="","",Table2[[#This Row],[Reduction Bus CO2 Emissions (tons/yr)]]*Table2[[#This Row],[Remaining Life:]])</f>
        <v/>
      </c>
      <c r="CD161" s="194" t="str">
        <f>IF(Table2[[#This Row],[Counter Number]]="","",IF(Table2[[#This Row],[Lifetime CO2 Reduction (tons)]]=0,"NA",Table2[[#This Row],[Upgrade Cost Per Unit]]/Table2[[#This Row],[Lifetime CO2 Reduction (tons)]]))</f>
        <v/>
      </c>
      <c r="CE161" s="182" t="str">
        <f>IF(Table2[[#This Row],[Counter Number]]="","",IF(Table2[[#This Row],[New ULSD Used (gal):]]="",Table2[[#This Row],[Old ULSD Used (gal):]],Table2[[#This Row],[Old ULSD Used (gal):]]-Table2[[#This Row],[New ULSD Used (gal):]]))</f>
        <v/>
      </c>
      <c r="CF161" s="196" t="str">
        <f>IF(Table2[[#This Row],[Counter Number]]="","",Table2[[#This Row],[Diesel Fuel Reduction (gal/yr)]]/Table2[[#This Row],[Old ULSD Used (gal):]])</f>
        <v/>
      </c>
      <c r="CG161" s="197" t="str">
        <f>IF(Table2[[#This Row],[Counter Number]]="","",Table2[[#This Row],[Diesel Fuel Reduction (gal/yr)]]*Table2[[#This Row],[Remaining Life:]])</f>
        <v/>
      </c>
    </row>
    <row r="162" spans="1:85">
      <c r="A162" s="184" t="str">
        <f>IF(A161&lt;Application!$D$24,A161+1,"")</f>
        <v/>
      </c>
      <c r="B162" s="60" t="str">
        <f>IF(Table2[[#This Row],[Counter Number]]="","",Application!$D$16)</f>
        <v/>
      </c>
      <c r="C162" s="60" t="str">
        <f>IF(Table2[[#This Row],[Counter Number]]="","",Application!$D$14)</f>
        <v/>
      </c>
      <c r="D162" s="60" t="str">
        <f>IF(Table2[[#This Row],[Counter Number]]="","",Table1[[#This Row],[Old Bus Number]])</f>
        <v/>
      </c>
      <c r="E162" s="60" t="str">
        <f>IF(Table2[[#This Row],[Counter Number]]="","",Application!$D$15)</f>
        <v/>
      </c>
      <c r="F162" s="60" t="str">
        <f>IF(Table2[[#This Row],[Counter Number]]="","","On Highway")</f>
        <v/>
      </c>
      <c r="G162" s="60" t="str">
        <f>IF(Table2[[#This Row],[Counter Number]]="","",I162)</f>
        <v/>
      </c>
      <c r="H162" s="60" t="str">
        <f>IF(Table2[[#This Row],[Counter Number]]="","","Georgia")</f>
        <v/>
      </c>
      <c r="I162" s="60" t="str">
        <f>IF(Table2[[#This Row],[Counter Number]]="","",Application!$D$16)</f>
        <v/>
      </c>
      <c r="J162" s="60" t="str">
        <f>IF(Table2[[#This Row],[Counter Number]]="","",Application!$D$21)</f>
        <v/>
      </c>
      <c r="K162" s="60" t="str">
        <f>IF(Table2[[#This Row],[Counter Number]]="","",Application!$J$21)</f>
        <v/>
      </c>
      <c r="L162" s="60" t="str">
        <f>IF(Table2[[#This Row],[Counter Number]]="","","School Bus")</f>
        <v/>
      </c>
      <c r="M162" s="60" t="str">
        <f>IF(Table2[[#This Row],[Counter Number]]="","","School Bus")</f>
        <v/>
      </c>
      <c r="N162" s="60" t="str">
        <f>IF(Table2[[#This Row],[Counter Number]]="","",1)</f>
        <v/>
      </c>
      <c r="O162" s="60" t="str">
        <f>IF(Table2[[#This Row],[Counter Number]]="","",Table1[[#This Row],[Vehicle Identification Number(s):]])</f>
        <v/>
      </c>
      <c r="P162" s="60" t="str">
        <f>IF(Table2[[#This Row],[Counter Number]]="","",Table1[[#This Row],[Old Bus Manufacturer:]])</f>
        <v/>
      </c>
      <c r="Q162" s="60" t="str">
        <f>IF(Table2[[#This Row],[Counter Number]]="","",Table1[[#This Row],[Vehicle Model:]])</f>
        <v/>
      </c>
      <c r="R162" s="165" t="str">
        <f>IF(Table2[[#This Row],[Counter Number]]="","",Table1[[#This Row],[Vehicle Model Year:]])</f>
        <v/>
      </c>
      <c r="S162" s="60" t="str">
        <f>IF(Table2[[#This Row],[Counter Number]]="","",Table1[[#This Row],[Engine Serial Number(s):]])</f>
        <v/>
      </c>
      <c r="T162" s="60" t="str">
        <f>IF(Table2[[#This Row],[Counter Number]]="","",Table1[[#This Row],[Engine Make:]])</f>
        <v/>
      </c>
      <c r="U162" s="60" t="str">
        <f>IF(Table2[[#This Row],[Counter Number]]="","",Table1[[#This Row],[Engine Model:]])</f>
        <v/>
      </c>
      <c r="V162" s="165" t="str">
        <f>IF(Table2[[#This Row],[Counter Number]]="","",Table1[[#This Row],[Engine Model Year:]])</f>
        <v/>
      </c>
      <c r="W162" s="60" t="str">
        <f>IF(Table2[[#This Row],[Counter Number]]="","","NA")</f>
        <v/>
      </c>
      <c r="X162" s="165" t="str">
        <f>IF(Table2[[#This Row],[Counter Number]]="","",Table1[[#This Row],[Engine Horsepower (HP):]])</f>
        <v/>
      </c>
      <c r="Y162" s="165" t="str">
        <f>IF(Table2[[#This Row],[Counter Number]]="","",Table1[[#This Row],[Engine Cylinder Displacement (L):]]&amp;" L")</f>
        <v/>
      </c>
      <c r="Z162" s="165" t="str">
        <f>IF(Table2[[#This Row],[Counter Number]]="","",Table1[[#This Row],[Engine Number of Cylinders:]])</f>
        <v/>
      </c>
      <c r="AA162" s="166" t="str">
        <f>IF(Table2[[#This Row],[Counter Number]]="","",Table1[[#This Row],[Engine Family Name:]])</f>
        <v/>
      </c>
      <c r="AB162" s="60" t="str">
        <f>IF(Table2[[#This Row],[Counter Number]]="","","ULSD")</f>
        <v/>
      </c>
      <c r="AC162" s="167" t="str">
        <f>IF(Table2[[#This Row],[Counter Number]]="","",Table2[[#This Row],[Annual Miles Traveled:]]/Table1[[#This Row],[Old Fuel (mpg)]])</f>
        <v/>
      </c>
      <c r="AD162" s="60" t="str">
        <f>IF(Table2[[#This Row],[Counter Number]]="","","NA")</f>
        <v/>
      </c>
      <c r="AE162" s="168" t="str">
        <f>IF(Table2[[#This Row],[Counter Number]]="","",Table1[[#This Row],[Annual Miles Traveled]])</f>
        <v/>
      </c>
      <c r="AF162" s="169" t="str">
        <f>IF(Table2[[#This Row],[Counter Number]]="","",Table1[[#This Row],[Annual Idling Hours:]])</f>
        <v/>
      </c>
      <c r="AG162" s="60" t="str">
        <f>IF(Table2[[#This Row],[Counter Number]]="","","NA")</f>
        <v/>
      </c>
      <c r="AH162" s="165" t="str">
        <f>IF(Table2[[#This Row],[Counter Number]]="","",IF(Application!$J$25="Set Policy",Table1[[#This Row],[Remaining Life (years)         Set Policy]],Table1[[#This Row],[Remaining Life (years)               Case-by-Case]]))</f>
        <v/>
      </c>
      <c r="AI162" s="165" t="str">
        <f>IF(Table2[[#This Row],[Counter Number]]="","",IF(Application!$J$25="Case-by-Case","NA",Table2[[#This Row],[Fiscal Year of EPA Funds Used:]]+Table2[[#This Row],[Remaining Life:]]))</f>
        <v/>
      </c>
      <c r="AJ162" s="165"/>
      <c r="AK162" s="170" t="str">
        <f>IF(Table2[[#This Row],[Counter Number]]="","",Application!$D$14+1)</f>
        <v/>
      </c>
      <c r="AL162" s="60" t="str">
        <f>IF(Table2[[#This Row],[Counter Number]]="","","Vehicle Replacement")</f>
        <v/>
      </c>
      <c r="AM16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2" s="171" t="str">
        <f>IF(Table2[[#This Row],[Counter Number]]="","",Table1[[#This Row],[Cost of New Bus:]])</f>
        <v/>
      </c>
      <c r="AO162" s="60" t="str">
        <f>IF(Table2[[#This Row],[Counter Number]]="","","NA")</f>
        <v/>
      </c>
      <c r="AP162" s="165" t="str">
        <f>IF(Table2[[#This Row],[Counter Number]]="","",Table1[[#This Row],[New Engine Model Year:]])</f>
        <v/>
      </c>
      <c r="AQ162" s="60" t="str">
        <f>IF(Table2[[#This Row],[Counter Number]]="","","NA")</f>
        <v/>
      </c>
      <c r="AR162" s="165" t="str">
        <f>IF(Table2[[#This Row],[Counter Number]]="","",Table1[[#This Row],[New Engine Horsepower (HP):]])</f>
        <v/>
      </c>
      <c r="AS162" s="60" t="str">
        <f>IF(Table2[[#This Row],[Counter Number]]="","","NA")</f>
        <v/>
      </c>
      <c r="AT162" s="165" t="str">
        <f>IF(Table2[[#This Row],[Counter Number]]="","",Table1[[#This Row],[New Engine Cylinder Displacement (L):]]&amp;" L")</f>
        <v/>
      </c>
      <c r="AU162" s="114" t="str">
        <f>IF(Table2[[#This Row],[Counter Number]]="","",Table1[[#This Row],[New Engine Number of Cylinders:]])</f>
        <v/>
      </c>
      <c r="AV162" s="60" t="str">
        <f>IF(Table2[[#This Row],[Counter Number]]="","",Table1[[#This Row],[New Engine Family Name:]])</f>
        <v/>
      </c>
      <c r="AW16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2" s="60" t="str">
        <f>IF(Table2[[#This Row],[Counter Number]]="","","NA")</f>
        <v/>
      </c>
      <c r="AY162" s="172" t="str">
        <f>IF(Table2[[#This Row],[Counter Number]]="","",IF(Table2[[#This Row],[New Engine Fuel Type:]]="ULSD",Table1[[#This Row],[Annual Miles Traveled]]/Table1[[#This Row],[New Fuel (mpg) if Diesel]],""))</f>
        <v/>
      </c>
      <c r="AZ162" s="60"/>
      <c r="BA162" s="173" t="str">
        <f>IF(Table2[[#This Row],[Counter Number]]="","",Table2[[#This Row],[Annual Miles Traveled:]]*VLOOKUP(Table2[[#This Row],[Engine Model Year:]],EFTable[],3,FALSE))</f>
        <v/>
      </c>
      <c r="BB162" s="173" t="str">
        <f>IF(Table2[[#This Row],[Counter Number]]="","",Table2[[#This Row],[Annual Miles Traveled:]]*IF(Table2[[#This Row],[New Engine Fuel Type:]]="ULSD",VLOOKUP(Table2[[#This Row],[New Engine Model Year:]],EFTable[],3,FALSE),VLOOKUP(Table2[[#This Row],[New Engine Fuel Type:]],EFTable[],3,FALSE)))</f>
        <v/>
      </c>
      <c r="BC162" s="187" t="str">
        <f>IF(Table2[[#This Row],[Counter Number]]="","",Table2[[#This Row],[Old Bus NOx Emissions (tons/yr)]]-Table2[[#This Row],[New Bus NOx Emissions (tons/yr)]])</f>
        <v/>
      </c>
      <c r="BD162" s="188" t="str">
        <f>IF(Table2[[#This Row],[Counter Number]]="","",Table2[[#This Row],[Reduction Bus NOx Emissions (tons/yr)]]/Table2[[#This Row],[Old Bus NOx Emissions (tons/yr)]])</f>
        <v/>
      </c>
      <c r="BE162" s="175" t="str">
        <f>IF(Table2[[#This Row],[Counter Number]]="","",Table2[[#This Row],[Reduction Bus NOx Emissions (tons/yr)]]*Table2[[#This Row],[Remaining Life:]])</f>
        <v/>
      </c>
      <c r="BF162" s="189" t="str">
        <f>IF(Table2[[#This Row],[Counter Number]]="","",IF(Table2[[#This Row],[Lifetime NOx Reduction (tons)]]=0,"NA",Table2[[#This Row],[Upgrade Cost Per Unit]]/Table2[[#This Row],[Lifetime NOx Reduction (tons)]]))</f>
        <v/>
      </c>
      <c r="BG162" s="190" t="str">
        <f>IF(Table2[[#This Row],[Counter Number]]="","",Table2[[#This Row],[Annual Miles Traveled:]]*VLOOKUP(Table2[[#This Row],[Engine Model Year:]],EF!$A$2:$G$27,4,FALSE))</f>
        <v/>
      </c>
      <c r="BH162" s="173" t="str">
        <f>IF(Table2[[#This Row],[Counter Number]]="","",Table2[[#This Row],[Annual Miles Traveled:]]*IF(Table2[[#This Row],[New Engine Fuel Type:]]="ULSD",VLOOKUP(Table2[[#This Row],[New Engine Model Year:]],EFTable[],4,FALSE),VLOOKUP(Table2[[#This Row],[New Engine Fuel Type:]],EFTable[],4,FALSE)))</f>
        <v/>
      </c>
      <c r="BI162" s="191" t="str">
        <f>IF(Table2[[#This Row],[Counter Number]]="","",Table2[[#This Row],[Old Bus PM2.5 Emissions (tons/yr)]]-Table2[[#This Row],[New Bus PM2.5 Emissions (tons/yr)]])</f>
        <v/>
      </c>
      <c r="BJ162" s="192" t="str">
        <f>IF(Table2[[#This Row],[Counter Number]]="","",Table2[[#This Row],[Reduction Bus PM2.5 Emissions (tons/yr)]]/Table2[[#This Row],[Old Bus PM2.5 Emissions (tons/yr)]])</f>
        <v/>
      </c>
      <c r="BK162" s="193" t="str">
        <f>IF(Table2[[#This Row],[Counter Number]]="","",Table2[[#This Row],[Reduction Bus PM2.5 Emissions (tons/yr)]]*Table2[[#This Row],[Remaining Life:]])</f>
        <v/>
      </c>
      <c r="BL162" s="194" t="str">
        <f>IF(Table2[[#This Row],[Counter Number]]="","",IF(Table2[[#This Row],[Lifetime PM2.5 Reduction (tons)]]=0,"NA",Table2[[#This Row],[Upgrade Cost Per Unit]]/Table2[[#This Row],[Lifetime PM2.5 Reduction (tons)]]))</f>
        <v/>
      </c>
      <c r="BM162" s="179" t="str">
        <f>IF(Table2[[#This Row],[Counter Number]]="","",Table2[[#This Row],[Annual Miles Traveled:]]*VLOOKUP(Table2[[#This Row],[Engine Model Year:]],EF!$A$2:$G$40,5,FALSE))</f>
        <v/>
      </c>
      <c r="BN162" s="173" t="str">
        <f>IF(Table2[[#This Row],[Counter Number]]="","",Table2[[#This Row],[Annual Miles Traveled:]]*IF(Table2[[#This Row],[New Engine Fuel Type:]]="ULSD",VLOOKUP(Table2[[#This Row],[New Engine Model Year:]],EFTable[],5,FALSE),VLOOKUP(Table2[[#This Row],[New Engine Fuel Type:]],EFTable[],5,FALSE)))</f>
        <v/>
      </c>
      <c r="BO162" s="190" t="str">
        <f>IF(Table2[[#This Row],[Counter Number]]="","",Table2[[#This Row],[Old Bus HC Emissions (tons/yr)]]-Table2[[#This Row],[New Bus HC Emissions (tons/yr)]])</f>
        <v/>
      </c>
      <c r="BP162" s="188" t="str">
        <f>IF(Table2[[#This Row],[Counter Number]]="","",Table2[[#This Row],[Reduction Bus HC Emissions (tons/yr)]]/Table2[[#This Row],[Old Bus HC Emissions (tons/yr)]])</f>
        <v/>
      </c>
      <c r="BQ162" s="193" t="str">
        <f>IF(Table2[[#This Row],[Counter Number]]="","",Table2[[#This Row],[Reduction Bus HC Emissions (tons/yr)]]*Table2[[#This Row],[Remaining Life:]])</f>
        <v/>
      </c>
      <c r="BR162" s="194" t="str">
        <f>IF(Table2[[#This Row],[Counter Number]]="","",IF(Table2[[#This Row],[Lifetime HC Reduction (tons)]]=0,"NA",Table2[[#This Row],[Upgrade Cost Per Unit]]/Table2[[#This Row],[Lifetime HC Reduction (tons)]]))</f>
        <v/>
      </c>
      <c r="BS162" s="191" t="str">
        <f>IF(Table2[[#This Row],[Counter Number]]="","",Table2[[#This Row],[Annual Miles Traveled:]]*VLOOKUP(Table2[[#This Row],[Engine Model Year:]],EF!$A$2:$G$27,6,FALSE))</f>
        <v/>
      </c>
      <c r="BT162" s="173" t="str">
        <f>IF(Table2[[#This Row],[Counter Number]]="","",Table2[[#This Row],[Annual Miles Traveled:]]*IF(Table2[[#This Row],[New Engine Fuel Type:]]="ULSD",VLOOKUP(Table2[[#This Row],[New Engine Model Year:]],EFTable[],6,FALSE),VLOOKUP(Table2[[#This Row],[New Engine Fuel Type:]],EFTable[],6,FALSE)))</f>
        <v/>
      </c>
      <c r="BU162" s="190" t="str">
        <f>IF(Table2[[#This Row],[Counter Number]]="","",Table2[[#This Row],[Old Bus CO Emissions (tons/yr)]]-Table2[[#This Row],[New Bus CO Emissions (tons/yr)]])</f>
        <v/>
      </c>
      <c r="BV162" s="188" t="str">
        <f>IF(Table2[[#This Row],[Counter Number]]="","",Table2[[#This Row],[Reduction Bus CO Emissions (tons/yr)]]/Table2[[#This Row],[Old Bus CO Emissions (tons/yr)]])</f>
        <v/>
      </c>
      <c r="BW162" s="193" t="str">
        <f>IF(Table2[[#This Row],[Counter Number]]="","",Table2[[#This Row],[Reduction Bus CO Emissions (tons/yr)]]*Table2[[#This Row],[Remaining Life:]])</f>
        <v/>
      </c>
      <c r="BX162" s="194" t="str">
        <f>IF(Table2[[#This Row],[Counter Number]]="","",IF(Table2[[#This Row],[Lifetime CO Reduction (tons)]]=0,"NA",Table2[[#This Row],[Upgrade Cost Per Unit]]/Table2[[#This Row],[Lifetime CO Reduction (tons)]]))</f>
        <v/>
      </c>
      <c r="BY162" s="180" t="str">
        <f>IF(Table2[[#This Row],[Counter Number]]="","",Table2[[#This Row],[Old ULSD Used (gal):]]*VLOOKUP(Table2[[#This Row],[Engine Model Year:]],EF!$A$2:$G$27,7,FALSE))</f>
        <v/>
      </c>
      <c r="BZ16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2" s="195" t="str">
        <f>IF(Table2[[#This Row],[Counter Number]]="","",Table2[[#This Row],[Old Bus CO2 Emissions (tons/yr)]]-Table2[[#This Row],[New Bus CO2 Emissions (tons/yr)]])</f>
        <v/>
      </c>
      <c r="CB162" s="188" t="str">
        <f>IF(Table2[[#This Row],[Counter Number]]="","",Table2[[#This Row],[Reduction Bus CO2 Emissions (tons/yr)]]/Table2[[#This Row],[Old Bus CO2 Emissions (tons/yr)]])</f>
        <v/>
      </c>
      <c r="CC162" s="195" t="str">
        <f>IF(Table2[[#This Row],[Counter Number]]="","",Table2[[#This Row],[Reduction Bus CO2 Emissions (tons/yr)]]*Table2[[#This Row],[Remaining Life:]])</f>
        <v/>
      </c>
      <c r="CD162" s="194" t="str">
        <f>IF(Table2[[#This Row],[Counter Number]]="","",IF(Table2[[#This Row],[Lifetime CO2 Reduction (tons)]]=0,"NA",Table2[[#This Row],[Upgrade Cost Per Unit]]/Table2[[#This Row],[Lifetime CO2 Reduction (tons)]]))</f>
        <v/>
      </c>
      <c r="CE162" s="182" t="str">
        <f>IF(Table2[[#This Row],[Counter Number]]="","",IF(Table2[[#This Row],[New ULSD Used (gal):]]="",Table2[[#This Row],[Old ULSD Used (gal):]],Table2[[#This Row],[Old ULSD Used (gal):]]-Table2[[#This Row],[New ULSD Used (gal):]]))</f>
        <v/>
      </c>
      <c r="CF162" s="196" t="str">
        <f>IF(Table2[[#This Row],[Counter Number]]="","",Table2[[#This Row],[Diesel Fuel Reduction (gal/yr)]]/Table2[[#This Row],[Old ULSD Used (gal):]])</f>
        <v/>
      </c>
      <c r="CG162" s="197" t="str">
        <f>IF(Table2[[#This Row],[Counter Number]]="","",Table2[[#This Row],[Diesel Fuel Reduction (gal/yr)]]*Table2[[#This Row],[Remaining Life:]])</f>
        <v/>
      </c>
    </row>
    <row r="163" spans="1:85">
      <c r="A163" s="184" t="str">
        <f>IF(A162&lt;Application!$D$24,A162+1,"")</f>
        <v/>
      </c>
      <c r="B163" s="60" t="str">
        <f>IF(Table2[[#This Row],[Counter Number]]="","",Application!$D$16)</f>
        <v/>
      </c>
      <c r="C163" s="60" t="str">
        <f>IF(Table2[[#This Row],[Counter Number]]="","",Application!$D$14)</f>
        <v/>
      </c>
      <c r="D163" s="60" t="str">
        <f>IF(Table2[[#This Row],[Counter Number]]="","",Table1[[#This Row],[Old Bus Number]])</f>
        <v/>
      </c>
      <c r="E163" s="60" t="str">
        <f>IF(Table2[[#This Row],[Counter Number]]="","",Application!$D$15)</f>
        <v/>
      </c>
      <c r="F163" s="60" t="str">
        <f>IF(Table2[[#This Row],[Counter Number]]="","","On Highway")</f>
        <v/>
      </c>
      <c r="G163" s="60" t="str">
        <f>IF(Table2[[#This Row],[Counter Number]]="","",I163)</f>
        <v/>
      </c>
      <c r="H163" s="60" t="str">
        <f>IF(Table2[[#This Row],[Counter Number]]="","","Georgia")</f>
        <v/>
      </c>
      <c r="I163" s="60" t="str">
        <f>IF(Table2[[#This Row],[Counter Number]]="","",Application!$D$16)</f>
        <v/>
      </c>
      <c r="J163" s="60" t="str">
        <f>IF(Table2[[#This Row],[Counter Number]]="","",Application!$D$21)</f>
        <v/>
      </c>
      <c r="K163" s="60" t="str">
        <f>IF(Table2[[#This Row],[Counter Number]]="","",Application!$J$21)</f>
        <v/>
      </c>
      <c r="L163" s="60" t="str">
        <f>IF(Table2[[#This Row],[Counter Number]]="","","School Bus")</f>
        <v/>
      </c>
      <c r="M163" s="60" t="str">
        <f>IF(Table2[[#This Row],[Counter Number]]="","","School Bus")</f>
        <v/>
      </c>
      <c r="N163" s="60" t="str">
        <f>IF(Table2[[#This Row],[Counter Number]]="","",1)</f>
        <v/>
      </c>
      <c r="O163" s="60" t="str">
        <f>IF(Table2[[#This Row],[Counter Number]]="","",Table1[[#This Row],[Vehicle Identification Number(s):]])</f>
        <v/>
      </c>
      <c r="P163" s="60" t="str">
        <f>IF(Table2[[#This Row],[Counter Number]]="","",Table1[[#This Row],[Old Bus Manufacturer:]])</f>
        <v/>
      </c>
      <c r="Q163" s="60" t="str">
        <f>IF(Table2[[#This Row],[Counter Number]]="","",Table1[[#This Row],[Vehicle Model:]])</f>
        <v/>
      </c>
      <c r="R163" s="165" t="str">
        <f>IF(Table2[[#This Row],[Counter Number]]="","",Table1[[#This Row],[Vehicle Model Year:]])</f>
        <v/>
      </c>
      <c r="S163" s="60" t="str">
        <f>IF(Table2[[#This Row],[Counter Number]]="","",Table1[[#This Row],[Engine Serial Number(s):]])</f>
        <v/>
      </c>
      <c r="T163" s="60" t="str">
        <f>IF(Table2[[#This Row],[Counter Number]]="","",Table1[[#This Row],[Engine Make:]])</f>
        <v/>
      </c>
      <c r="U163" s="60" t="str">
        <f>IF(Table2[[#This Row],[Counter Number]]="","",Table1[[#This Row],[Engine Model:]])</f>
        <v/>
      </c>
      <c r="V163" s="165" t="str">
        <f>IF(Table2[[#This Row],[Counter Number]]="","",Table1[[#This Row],[Engine Model Year:]])</f>
        <v/>
      </c>
      <c r="W163" s="60" t="str">
        <f>IF(Table2[[#This Row],[Counter Number]]="","","NA")</f>
        <v/>
      </c>
      <c r="X163" s="165" t="str">
        <f>IF(Table2[[#This Row],[Counter Number]]="","",Table1[[#This Row],[Engine Horsepower (HP):]])</f>
        <v/>
      </c>
      <c r="Y163" s="165" t="str">
        <f>IF(Table2[[#This Row],[Counter Number]]="","",Table1[[#This Row],[Engine Cylinder Displacement (L):]]&amp;" L")</f>
        <v/>
      </c>
      <c r="Z163" s="165" t="str">
        <f>IF(Table2[[#This Row],[Counter Number]]="","",Table1[[#This Row],[Engine Number of Cylinders:]])</f>
        <v/>
      </c>
      <c r="AA163" s="166" t="str">
        <f>IF(Table2[[#This Row],[Counter Number]]="","",Table1[[#This Row],[Engine Family Name:]])</f>
        <v/>
      </c>
      <c r="AB163" s="60" t="str">
        <f>IF(Table2[[#This Row],[Counter Number]]="","","ULSD")</f>
        <v/>
      </c>
      <c r="AC163" s="167" t="str">
        <f>IF(Table2[[#This Row],[Counter Number]]="","",Table2[[#This Row],[Annual Miles Traveled:]]/Table1[[#This Row],[Old Fuel (mpg)]])</f>
        <v/>
      </c>
      <c r="AD163" s="60" t="str">
        <f>IF(Table2[[#This Row],[Counter Number]]="","","NA")</f>
        <v/>
      </c>
      <c r="AE163" s="168" t="str">
        <f>IF(Table2[[#This Row],[Counter Number]]="","",Table1[[#This Row],[Annual Miles Traveled]])</f>
        <v/>
      </c>
      <c r="AF163" s="169" t="str">
        <f>IF(Table2[[#This Row],[Counter Number]]="","",Table1[[#This Row],[Annual Idling Hours:]])</f>
        <v/>
      </c>
      <c r="AG163" s="60" t="str">
        <f>IF(Table2[[#This Row],[Counter Number]]="","","NA")</f>
        <v/>
      </c>
      <c r="AH163" s="165" t="str">
        <f>IF(Table2[[#This Row],[Counter Number]]="","",IF(Application!$J$25="Set Policy",Table1[[#This Row],[Remaining Life (years)         Set Policy]],Table1[[#This Row],[Remaining Life (years)               Case-by-Case]]))</f>
        <v/>
      </c>
      <c r="AI163" s="165" t="str">
        <f>IF(Table2[[#This Row],[Counter Number]]="","",IF(Application!$J$25="Case-by-Case","NA",Table2[[#This Row],[Fiscal Year of EPA Funds Used:]]+Table2[[#This Row],[Remaining Life:]]))</f>
        <v/>
      </c>
      <c r="AJ163" s="165"/>
      <c r="AK163" s="170" t="str">
        <f>IF(Table2[[#This Row],[Counter Number]]="","",Application!$D$14+1)</f>
        <v/>
      </c>
      <c r="AL163" s="60" t="str">
        <f>IF(Table2[[#This Row],[Counter Number]]="","","Vehicle Replacement")</f>
        <v/>
      </c>
      <c r="AM16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3" s="171" t="str">
        <f>IF(Table2[[#This Row],[Counter Number]]="","",Table1[[#This Row],[Cost of New Bus:]])</f>
        <v/>
      </c>
      <c r="AO163" s="60" t="str">
        <f>IF(Table2[[#This Row],[Counter Number]]="","","NA")</f>
        <v/>
      </c>
      <c r="AP163" s="165" t="str">
        <f>IF(Table2[[#This Row],[Counter Number]]="","",Table1[[#This Row],[New Engine Model Year:]])</f>
        <v/>
      </c>
      <c r="AQ163" s="60" t="str">
        <f>IF(Table2[[#This Row],[Counter Number]]="","","NA")</f>
        <v/>
      </c>
      <c r="AR163" s="165" t="str">
        <f>IF(Table2[[#This Row],[Counter Number]]="","",Table1[[#This Row],[New Engine Horsepower (HP):]])</f>
        <v/>
      </c>
      <c r="AS163" s="60" t="str">
        <f>IF(Table2[[#This Row],[Counter Number]]="","","NA")</f>
        <v/>
      </c>
      <c r="AT163" s="165" t="str">
        <f>IF(Table2[[#This Row],[Counter Number]]="","",Table1[[#This Row],[New Engine Cylinder Displacement (L):]]&amp;" L")</f>
        <v/>
      </c>
      <c r="AU163" s="114" t="str">
        <f>IF(Table2[[#This Row],[Counter Number]]="","",Table1[[#This Row],[New Engine Number of Cylinders:]])</f>
        <v/>
      </c>
      <c r="AV163" s="60" t="str">
        <f>IF(Table2[[#This Row],[Counter Number]]="","",Table1[[#This Row],[New Engine Family Name:]])</f>
        <v/>
      </c>
      <c r="AW16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3" s="60" t="str">
        <f>IF(Table2[[#This Row],[Counter Number]]="","","NA")</f>
        <v/>
      </c>
      <c r="AY163" s="172" t="str">
        <f>IF(Table2[[#This Row],[Counter Number]]="","",IF(Table2[[#This Row],[New Engine Fuel Type:]]="ULSD",Table1[[#This Row],[Annual Miles Traveled]]/Table1[[#This Row],[New Fuel (mpg) if Diesel]],""))</f>
        <v/>
      </c>
      <c r="AZ163" s="60"/>
      <c r="BA163" s="173" t="str">
        <f>IF(Table2[[#This Row],[Counter Number]]="","",Table2[[#This Row],[Annual Miles Traveled:]]*VLOOKUP(Table2[[#This Row],[Engine Model Year:]],EFTable[],3,FALSE))</f>
        <v/>
      </c>
      <c r="BB163" s="173" t="str">
        <f>IF(Table2[[#This Row],[Counter Number]]="","",Table2[[#This Row],[Annual Miles Traveled:]]*IF(Table2[[#This Row],[New Engine Fuel Type:]]="ULSD",VLOOKUP(Table2[[#This Row],[New Engine Model Year:]],EFTable[],3,FALSE),VLOOKUP(Table2[[#This Row],[New Engine Fuel Type:]],EFTable[],3,FALSE)))</f>
        <v/>
      </c>
      <c r="BC163" s="187" t="str">
        <f>IF(Table2[[#This Row],[Counter Number]]="","",Table2[[#This Row],[Old Bus NOx Emissions (tons/yr)]]-Table2[[#This Row],[New Bus NOx Emissions (tons/yr)]])</f>
        <v/>
      </c>
      <c r="BD163" s="188" t="str">
        <f>IF(Table2[[#This Row],[Counter Number]]="","",Table2[[#This Row],[Reduction Bus NOx Emissions (tons/yr)]]/Table2[[#This Row],[Old Bus NOx Emissions (tons/yr)]])</f>
        <v/>
      </c>
      <c r="BE163" s="175" t="str">
        <f>IF(Table2[[#This Row],[Counter Number]]="","",Table2[[#This Row],[Reduction Bus NOx Emissions (tons/yr)]]*Table2[[#This Row],[Remaining Life:]])</f>
        <v/>
      </c>
      <c r="BF163" s="189" t="str">
        <f>IF(Table2[[#This Row],[Counter Number]]="","",IF(Table2[[#This Row],[Lifetime NOx Reduction (tons)]]=0,"NA",Table2[[#This Row],[Upgrade Cost Per Unit]]/Table2[[#This Row],[Lifetime NOx Reduction (tons)]]))</f>
        <v/>
      </c>
      <c r="BG163" s="190" t="str">
        <f>IF(Table2[[#This Row],[Counter Number]]="","",Table2[[#This Row],[Annual Miles Traveled:]]*VLOOKUP(Table2[[#This Row],[Engine Model Year:]],EF!$A$2:$G$27,4,FALSE))</f>
        <v/>
      </c>
      <c r="BH163" s="173" t="str">
        <f>IF(Table2[[#This Row],[Counter Number]]="","",Table2[[#This Row],[Annual Miles Traveled:]]*IF(Table2[[#This Row],[New Engine Fuel Type:]]="ULSD",VLOOKUP(Table2[[#This Row],[New Engine Model Year:]],EFTable[],4,FALSE),VLOOKUP(Table2[[#This Row],[New Engine Fuel Type:]],EFTable[],4,FALSE)))</f>
        <v/>
      </c>
      <c r="BI163" s="191" t="str">
        <f>IF(Table2[[#This Row],[Counter Number]]="","",Table2[[#This Row],[Old Bus PM2.5 Emissions (tons/yr)]]-Table2[[#This Row],[New Bus PM2.5 Emissions (tons/yr)]])</f>
        <v/>
      </c>
      <c r="BJ163" s="192" t="str">
        <f>IF(Table2[[#This Row],[Counter Number]]="","",Table2[[#This Row],[Reduction Bus PM2.5 Emissions (tons/yr)]]/Table2[[#This Row],[Old Bus PM2.5 Emissions (tons/yr)]])</f>
        <v/>
      </c>
      <c r="BK163" s="193" t="str">
        <f>IF(Table2[[#This Row],[Counter Number]]="","",Table2[[#This Row],[Reduction Bus PM2.5 Emissions (tons/yr)]]*Table2[[#This Row],[Remaining Life:]])</f>
        <v/>
      </c>
      <c r="BL163" s="194" t="str">
        <f>IF(Table2[[#This Row],[Counter Number]]="","",IF(Table2[[#This Row],[Lifetime PM2.5 Reduction (tons)]]=0,"NA",Table2[[#This Row],[Upgrade Cost Per Unit]]/Table2[[#This Row],[Lifetime PM2.5 Reduction (tons)]]))</f>
        <v/>
      </c>
      <c r="BM163" s="179" t="str">
        <f>IF(Table2[[#This Row],[Counter Number]]="","",Table2[[#This Row],[Annual Miles Traveled:]]*VLOOKUP(Table2[[#This Row],[Engine Model Year:]],EF!$A$2:$G$40,5,FALSE))</f>
        <v/>
      </c>
      <c r="BN163" s="173" t="str">
        <f>IF(Table2[[#This Row],[Counter Number]]="","",Table2[[#This Row],[Annual Miles Traveled:]]*IF(Table2[[#This Row],[New Engine Fuel Type:]]="ULSD",VLOOKUP(Table2[[#This Row],[New Engine Model Year:]],EFTable[],5,FALSE),VLOOKUP(Table2[[#This Row],[New Engine Fuel Type:]],EFTable[],5,FALSE)))</f>
        <v/>
      </c>
      <c r="BO163" s="190" t="str">
        <f>IF(Table2[[#This Row],[Counter Number]]="","",Table2[[#This Row],[Old Bus HC Emissions (tons/yr)]]-Table2[[#This Row],[New Bus HC Emissions (tons/yr)]])</f>
        <v/>
      </c>
      <c r="BP163" s="188" t="str">
        <f>IF(Table2[[#This Row],[Counter Number]]="","",Table2[[#This Row],[Reduction Bus HC Emissions (tons/yr)]]/Table2[[#This Row],[Old Bus HC Emissions (tons/yr)]])</f>
        <v/>
      </c>
      <c r="BQ163" s="193" t="str">
        <f>IF(Table2[[#This Row],[Counter Number]]="","",Table2[[#This Row],[Reduction Bus HC Emissions (tons/yr)]]*Table2[[#This Row],[Remaining Life:]])</f>
        <v/>
      </c>
      <c r="BR163" s="194" t="str">
        <f>IF(Table2[[#This Row],[Counter Number]]="","",IF(Table2[[#This Row],[Lifetime HC Reduction (tons)]]=0,"NA",Table2[[#This Row],[Upgrade Cost Per Unit]]/Table2[[#This Row],[Lifetime HC Reduction (tons)]]))</f>
        <v/>
      </c>
      <c r="BS163" s="191" t="str">
        <f>IF(Table2[[#This Row],[Counter Number]]="","",Table2[[#This Row],[Annual Miles Traveled:]]*VLOOKUP(Table2[[#This Row],[Engine Model Year:]],EF!$A$2:$G$27,6,FALSE))</f>
        <v/>
      </c>
      <c r="BT163" s="173" t="str">
        <f>IF(Table2[[#This Row],[Counter Number]]="","",Table2[[#This Row],[Annual Miles Traveled:]]*IF(Table2[[#This Row],[New Engine Fuel Type:]]="ULSD",VLOOKUP(Table2[[#This Row],[New Engine Model Year:]],EFTable[],6,FALSE),VLOOKUP(Table2[[#This Row],[New Engine Fuel Type:]],EFTable[],6,FALSE)))</f>
        <v/>
      </c>
      <c r="BU163" s="190" t="str">
        <f>IF(Table2[[#This Row],[Counter Number]]="","",Table2[[#This Row],[Old Bus CO Emissions (tons/yr)]]-Table2[[#This Row],[New Bus CO Emissions (tons/yr)]])</f>
        <v/>
      </c>
      <c r="BV163" s="188" t="str">
        <f>IF(Table2[[#This Row],[Counter Number]]="","",Table2[[#This Row],[Reduction Bus CO Emissions (tons/yr)]]/Table2[[#This Row],[Old Bus CO Emissions (tons/yr)]])</f>
        <v/>
      </c>
      <c r="BW163" s="193" t="str">
        <f>IF(Table2[[#This Row],[Counter Number]]="","",Table2[[#This Row],[Reduction Bus CO Emissions (tons/yr)]]*Table2[[#This Row],[Remaining Life:]])</f>
        <v/>
      </c>
      <c r="BX163" s="194" t="str">
        <f>IF(Table2[[#This Row],[Counter Number]]="","",IF(Table2[[#This Row],[Lifetime CO Reduction (tons)]]=0,"NA",Table2[[#This Row],[Upgrade Cost Per Unit]]/Table2[[#This Row],[Lifetime CO Reduction (tons)]]))</f>
        <v/>
      </c>
      <c r="BY163" s="180" t="str">
        <f>IF(Table2[[#This Row],[Counter Number]]="","",Table2[[#This Row],[Old ULSD Used (gal):]]*VLOOKUP(Table2[[#This Row],[Engine Model Year:]],EF!$A$2:$G$27,7,FALSE))</f>
        <v/>
      </c>
      <c r="BZ16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3" s="195" t="str">
        <f>IF(Table2[[#This Row],[Counter Number]]="","",Table2[[#This Row],[Old Bus CO2 Emissions (tons/yr)]]-Table2[[#This Row],[New Bus CO2 Emissions (tons/yr)]])</f>
        <v/>
      </c>
      <c r="CB163" s="188" t="str">
        <f>IF(Table2[[#This Row],[Counter Number]]="","",Table2[[#This Row],[Reduction Bus CO2 Emissions (tons/yr)]]/Table2[[#This Row],[Old Bus CO2 Emissions (tons/yr)]])</f>
        <v/>
      </c>
      <c r="CC163" s="195" t="str">
        <f>IF(Table2[[#This Row],[Counter Number]]="","",Table2[[#This Row],[Reduction Bus CO2 Emissions (tons/yr)]]*Table2[[#This Row],[Remaining Life:]])</f>
        <v/>
      </c>
      <c r="CD163" s="194" t="str">
        <f>IF(Table2[[#This Row],[Counter Number]]="","",IF(Table2[[#This Row],[Lifetime CO2 Reduction (tons)]]=0,"NA",Table2[[#This Row],[Upgrade Cost Per Unit]]/Table2[[#This Row],[Lifetime CO2 Reduction (tons)]]))</f>
        <v/>
      </c>
      <c r="CE163" s="182" t="str">
        <f>IF(Table2[[#This Row],[Counter Number]]="","",IF(Table2[[#This Row],[New ULSD Used (gal):]]="",Table2[[#This Row],[Old ULSD Used (gal):]],Table2[[#This Row],[Old ULSD Used (gal):]]-Table2[[#This Row],[New ULSD Used (gal):]]))</f>
        <v/>
      </c>
      <c r="CF163" s="196" t="str">
        <f>IF(Table2[[#This Row],[Counter Number]]="","",Table2[[#This Row],[Diesel Fuel Reduction (gal/yr)]]/Table2[[#This Row],[Old ULSD Used (gal):]])</f>
        <v/>
      </c>
      <c r="CG163" s="197" t="str">
        <f>IF(Table2[[#This Row],[Counter Number]]="","",Table2[[#This Row],[Diesel Fuel Reduction (gal/yr)]]*Table2[[#This Row],[Remaining Life:]])</f>
        <v/>
      </c>
    </row>
    <row r="164" spans="1:85">
      <c r="A164" s="184" t="str">
        <f>IF(A163&lt;Application!$D$24,A163+1,"")</f>
        <v/>
      </c>
      <c r="B164" s="60" t="str">
        <f>IF(Table2[[#This Row],[Counter Number]]="","",Application!$D$16)</f>
        <v/>
      </c>
      <c r="C164" s="60" t="str">
        <f>IF(Table2[[#This Row],[Counter Number]]="","",Application!$D$14)</f>
        <v/>
      </c>
      <c r="D164" s="60" t="str">
        <f>IF(Table2[[#This Row],[Counter Number]]="","",Table1[[#This Row],[Old Bus Number]])</f>
        <v/>
      </c>
      <c r="E164" s="60" t="str">
        <f>IF(Table2[[#This Row],[Counter Number]]="","",Application!$D$15)</f>
        <v/>
      </c>
      <c r="F164" s="60" t="str">
        <f>IF(Table2[[#This Row],[Counter Number]]="","","On Highway")</f>
        <v/>
      </c>
      <c r="G164" s="60" t="str">
        <f>IF(Table2[[#This Row],[Counter Number]]="","",I164)</f>
        <v/>
      </c>
      <c r="H164" s="60" t="str">
        <f>IF(Table2[[#This Row],[Counter Number]]="","","Georgia")</f>
        <v/>
      </c>
      <c r="I164" s="60" t="str">
        <f>IF(Table2[[#This Row],[Counter Number]]="","",Application!$D$16)</f>
        <v/>
      </c>
      <c r="J164" s="60" t="str">
        <f>IF(Table2[[#This Row],[Counter Number]]="","",Application!$D$21)</f>
        <v/>
      </c>
      <c r="K164" s="60" t="str">
        <f>IF(Table2[[#This Row],[Counter Number]]="","",Application!$J$21)</f>
        <v/>
      </c>
      <c r="L164" s="60" t="str">
        <f>IF(Table2[[#This Row],[Counter Number]]="","","School Bus")</f>
        <v/>
      </c>
      <c r="M164" s="60" t="str">
        <f>IF(Table2[[#This Row],[Counter Number]]="","","School Bus")</f>
        <v/>
      </c>
      <c r="N164" s="60" t="str">
        <f>IF(Table2[[#This Row],[Counter Number]]="","",1)</f>
        <v/>
      </c>
      <c r="O164" s="60" t="str">
        <f>IF(Table2[[#This Row],[Counter Number]]="","",Table1[[#This Row],[Vehicle Identification Number(s):]])</f>
        <v/>
      </c>
      <c r="P164" s="60" t="str">
        <f>IF(Table2[[#This Row],[Counter Number]]="","",Table1[[#This Row],[Old Bus Manufacturer:]])</f>
        <v/>
      </c>
      <c r="Q164" s="60" t="str">
        <f>IF(Table2[[#This Row],[Counter Number]]="","",Table1[[#This Row],[Vehicle Model:]])</f>
        <v/>
      </c>
      <c r="R164" s="165" t="str">
        <f>IF(Table2[[#This Row],[Counter Number]]="","",Table1[[#This Row],[Vehicle Model Year:]])</f>
        <v/>
      </c>
      <c r="S164" s="60" t="str">
        <f>IF(Table2[[#This Row],[Counter Number]]="","",Table1[[#This Row],[Engine Serial Number(s):]])</f>
        <v/>
      </c>
      <c r="T164" s="60" t="str">
        <f>IF(Table2[[#This Row],[Counter Number]]="","",Table1[[#This Row],[Engine Make:]])</f>
        <v/>
      </c>
      <c r="U164" s="60" t="str">
        <f>IF(Table2[[#This Row],[Counter Number]]="","",Table1[[#This Row],[Engine Model:]])</f>
        <v/>
      </c>
      <c r="V164" s="165" t="str">
        <f>IF(Table2[[#This Row],[Counter Number]]="","",Table1[[#This Row],[Engine Model Year:]])</f>
        <v/>
      </c>
      <c r="W164" s="60" t="str">
        <f>IF(Table2[[#This Row],[Counter Number]]="","","NA")</f>
        <v/>
      </c>
      <c r="X164" s="165" t="str">
        <f>IF(Table2[[#This Row],[Counter Number]]="","",Table1[[#This Row],[Engine Horsepower (HP):]])</f>
        <v/>
      </c>
      <c r="Y164" s="165" t="str">
        <f>IF(Table2[[#This Row],[Counter Number]]="","",Table1[[#This Row],[Engine Cylinder Displacement (L):]]&amp;" L")</f>
        <v/>
      </c>
      <c r="Z164" s="165" t="str">
        <f>IF(Table2[[#This Row],[Counter Number]]="","",Table1[[#This Row],[Engine Number of Cylinders:]])</f>
        <v/>
      </c>
      <c r="AA164" s="166" t="str">
        <f>IF(Table2[[#This Row],[Counter Number]]="","",Table1[[#This Row],[Engine Family Name:]])</f>
        <v/>
      </c>
      <c r="AB164" s="60" t="str">
        <f>IF(Table2[[#This Row],[Counter Number]]="","","ULSD")</f>
        <v/>
      </c>
      <c r="AC164" s="167" t="str">
        <f>IF(Table2[[#This Row],[Counter Number]]="","",Table2[[#This Row],[Annual Miles Traveled:]]/Table1[[#This Row],[Old Fuel (mpg)]])</f>
        <v/>
      </c>
      <c r="AD164" s="60" t="str">
        <f>IF(Table2[[#This Row],[Counter Number]]="","","NA")</f>
        <v/>
      </c>
      <c r="AE164" s="168" t="str">
        <f>IF(Table2[[#This Row],[Counter Number]]="","",Table1[[#This Row],[Annual Miles Traveled]])</f>
        <v/>
      </c>
      <c r="AF164" s="169" t="str">
        <f>IF(Table2[[#This Row],[Counter Number]]="","",Table1[[#This Row],[Annual Idling Hours:]])</f>
        <v/>
      </c>
      <c r="AG164" s="60" t="str">
        <f>IF(Table2[[#This Row],[Counter Number]]="","","NA")</f>
        <v/>
      </c>
      <c r="AH164" s="165" t="str">
        <f>IF(Table2[[#This Row],[Counter Number]]="","",IF(Application!$J$25="Set Policy",Table1[[#This Row],[Remaining Life (years)         Set Policy]],Table1[[#This Row],[Remaining Life (years)               Case-by-Case]]))</f>
        <v/>
      </c>
      <c r="AI164" s="165" t="str">
        <f>IF(Table2[[#This Row],[Counter Number]]="","",IF(Application!$J$25="Case-by-Case","NA",Table2[[#This Row],[Fiscal Year of EPA Funds Used:]]+Table2[[#This Row],[Remaining Life:]]))</f>
        <v/>
      </c>
      <c r="AJ164" s="165"/>
      <c r="AK164" s="170" t="str">
        <f>IF(Table2[[#This Row],[Counter Number]]="","",Application!$D$14+1)</f>
        <v/>
      </c>
      <c r="AL164" s="60" t="str">
        <f>IF(Table2[[#This Row],[Counter Number]]="","","Vehicle Replacement")</f>
        <v/>
      </c>
      <c r="AM16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4" s="171" t="str">
        <f>IF(Table2[[#This Row],[Counter Number]]="","",Table1[[#This Row],[Cost of New Bus:]])</f>
        <v/>
      </c>
      <c r="AO164" s="60" t="str">
        <f>IF(Table2[[#This Row],[Counter Number]]="","","NA")</f>
        <v/>
      </c>
      <c r="AP164" s="165" t="str">
        <f>IF(Table2[[#This Row],[Counter Number]]="","",Table1[[#This Row],[New Engine Model Year:]])</f>
        <v/>
      </c>
      <c r="AQ164" s="60" t="str">
        <f>IF(Table2[[#This Row],[Counter Number]]="","","NA")</f>
        <v/>
      </c>
      <c r="AR164" s="165" t="str">
        <f>IF(Table2[[#This Row],[Counter Number]]="","",Table1[[#This Row],[New Engine Horsepower (HP):]])</f>
        <v/>
      </c>
      <c r="AS164" s="60" t="str">
        <f>IF(Table2[[#This Row],[Counter Number]]="","","NA")</f>
        <v/>
      </c>
      <c r="AT164" s="165" t="str">
        <f>IF(Table2[[#This Row],[Counter Number]]="","",Table1[[#This Row],[New Engine Cylinder Displacement (L):]]&amp;" L")</f>
        <v/>
      </c>
      <c r="AU164" s="114" t="str">
        <f>IF(Table2[[#This Row],[Counter Number]]="","",Table1[[#This Row],[New Engine Number of Cylinders:]])</f>
        <v/>
      </c>
      <c r="AV164" s="60" t="str">
        <f>IF(Table2[[#This Row],[Counter Number]]="","",Table1[[#This Row],[New Engine Family Name:]])</f>
        <v/>
      </c>
      <c r="AW16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4" s="60" t="str">
        <f>IF(Table2[[#This Row],[Counter Number]]="","","NA")</f>
        <v/>
      </c>
      <c r="AY164" s="172" t="str">
        <f>IF(Table2[[#This Row],[Counter Number]]="","",IF(Table2[[#This Row],[New Engine Fuel Type:]]="ULSD",Table1[[#This Row],[Annual Miles Traveled]]/Table1[[#This Row],[New Fuel (mpg) if Diesel]],""))</f>
        <v/>
      </c>
      <c r="AZ164" s="60"/>
      <c r="BA164" s="173" t="str">
        <f>IF(Table2[[#This Row],[Counter Number]]="","",Table2[[#This Row],[Annual Miles Traveled:]]*VLOOKUP(Table2[[#This Row],[Engine Model Year:]],EFTable[],3,FALSE))</f>
        <v/>
      </c>
      <c r="BB164" s="173" t="str">
        <f>IF(Table2[[#This Row],[Counter Number]]="","",Table2[[#This Row],[Annual Miles Traveled:]]*IF(Table2[[#This Row],[New Engine Fuel Type:]]="ULSD",VLOOKUP(Table2[[#This Row],[New Engine Model Year:]],EFTable[],3,FALSE),VLOOKUP(Table2[[#This Row],[New Engine Fuel Type:]],EFTable[],3,FALSE)))</f>
        <v/>
      </c>
      <c r="BC164" s="187" t="str">
        <f>IF(Table2[[#This Row],[Counter Number]]="","",Table2[[#This Row],[Old Bus NOx Emissions (tons/yr)]]-Table2[[#This Row],[New Bus NOx Emissions (tons/yr)]])</f>
        <v/>
      </c>
      <c r="BD164" s="188" t="str">
        <f>IF(Table2[[#This Row],[Counter Number]]="","",Table2[[#This Row],[Reduction Bus NOx Emissions (tons/yr)]]/Table2[[#This Row],[Old Bus NOx Emissions (tons/yr)]])</f>
        <v/>
      </c>
      <c r="BE164" s="175" t="str">
        <f>IF(Table2[[#This Row],[Counter Number]]="","",Table2[[#This Row],[Reduction Bus NOx Emissions (tons/yr)]]*Table2[[#This Row],[Remaining Life:]])</f>
        <v/>
      </c>
      <c r="BF164" s="189" t="str">
        <f>IF(Table2[[#This Row],[Counter Number]]="","",IF(Table2[[#This Row],[Lifetime NOx Reduction (tons)]]=0,"NA",Table2[[#This Row],[Upgrade Cost Per Unit]]/Table2[[#This Row],[Lifetime NOx Reduction (tons)]]))</f>
        <v/>
      </c>
      <c r="BG164" s="190" t="str">
        <f>IF(Table2[[#This Row],[Counter Number]]="","",Table2[[#This Row],[Annual Miles Traveled:]]*VLOOKUP(Table2[[#This Row],[Engine Model Year:]],EF!$A$2:$G$27,4,FALSE))</f>
        <v/>
      </c>
      <c r="BH164" s="173" t="str">
        <f>IF(Table2[[#This Row],[Counter Number]]="","",Table2[[#This Row],[Annual Miles Traveled:]]*IF(Table2[[#This Row],[New Engine Fuel Type:]]="ULSD",VLOOKUP(Table2[[#This Row],[New Engine Model Year:]],EFTable[],4,FALSE),VLOOKUP(Table2[[#This Row],[New Engine Fuel Type:]],EFTable[],4,FALSE)))</f>
        <v/>
      </c>
      <c r="BI164" s="191" t="str">
        <f>IF(Table2[[#This Row],[Counter Number]]="","",Table2[[#This Row],[Old Bus PM2.5 Emissions (tons/yr)]]-Table2[[#This Row],[New Bus PM2.5 Emissions (tons/yr)]])</f>
        <v/>
      </c>
      <c r="BJ164" s="192" t="str">
        <f>IF(Table2[[#This Row],[Counter Number]]="","",Table2[[#This Row],[Reduction Bus PM2.5 Emissions (tons/yr)]]/Table2[[#This Row],[Old Bus PM2.5 Emissions (tons/yr)]])</f>
        <v/>
      </c>
      <c r="BK164" s="193" t="str">
        <f>IF(Table2[[#This Row],[Counter Number]]="","",Table2[[#This Row],[Reduction Bus PM2.5 Emissions (tons/yr)]]*Table2[[#This Row],[Remaining Life:]])</f>
        <v/>
      </c>
      <c r="BL164" s="194" t="str">
        <f>IF(Table2[[#This Row],[Counter Number]]="","",IF(Table2[[#This Row],[Lifetime PM2.5 Reduction (tons)]]=0,"NA",Table2[[#This Row],[Upgrade Cost Per Unit]]/Table2[[#This Row],[Lifetime PM2.5 Reduction (tons)]]))</f>
        <v/>
      </c>
      <c r="BM164" s="179" t="str">
        <f>IF(Table2[[#This Row],[Counter Number]]="","",Table2[[#This Row],[Annual Miles Traveled:]]*VLOOKUP(Table2[[#This Row],[Engine Model Year:]],EF!$A$2:$G$40,5,FALSE))</f>
        <v/>
      </c>
      <c r="BN164" s="173" t="str">
        <f>IF(Table2[[#This Row],[Counter Number]]="","",Table2[[#This Row],[Annual Miles Traveled:]]*IF(Table2[[#This Row],[New Engine Fuel Type:]]="ULSD",VLOOKUP(Table2[[#This Row],[New Engine Model Year:]],EFTable[],5,FALSE),VLOOKUP(Table2[[#This Row],[New Engine Fuel Type:]],EFTable[],5,FALSE)))</f>
        <v/>
      </c>
      <c r="BO164" s="190" t="str">
        <f>IF(Table2[[#This Row],[Counter Number]]="","",Table2[[#This Row],[Old Bus HC Emissions (tons/yr)]]-Table2[[#This Row],[New Bus HC Emissions (tons/yr)]])</f>
        <v/>
      </c>
      <c r="BP164" s="188" t="str">
        <f>IF(Table2[[#This Row],[Counter Number]]="","",Table2[[#This Row],[Reduction Bus HC Emissions (tons/yr)]]/Table2[[#This Row],[Old Bus HC Emissions (tons/yr)]])</f>
        <v/>
      </c>
      <c r="BQ164" s="193" t="str">
        <f>IF(Table2[[#This Row],[Counter Number]]="","",Table2[[#This Row],[Reduction Bus HC Emissions (tons/yr)]]*Table2[[#This Row],[Remaining Life:]])</f>
        <v/>
      </c>
      <c r="BR164" s="194" t="str">
        <f>IF(Table2[[#This Row],[Counter Number]]="","",IF(Table2[[#This Row],[Lifetime HC Reduction (tons)]]=0,"NA",Table2[[#This Row],[Upgrade Cost Per Unit]]/Table2[[#This Row],[Lifetime HC Reduction (tons)]]))</f>
        <v/>
      </c>
      <c r="BS164" s="191" t="str">
        <f>IF(Table2[[#This Row],[Counter Number]]="","",Table2[[#This Row],[Annual Miles Traveled:]]*VLOOKUP(Table2[[#This Row],[Engine Model Year:]],EF!$A$2:$G$27,6,FALSE))</f>
        <v/>
      </c>
      <c r="BT164" s="173" t="str">
        <f>IF(Table2[[#This Row],[Counter Number]]="","",Table2[[#This Row],[Annual Miles Traveled:]]*IF(Table2[[#This Row],[New Engine Fuel Type:]]="ULSD",VLOOKUP(Table2[[#This Row],[New Engine Model Year:]],EFTable[],6,FALSE),VLOOKUP(Table2[[#This Row],[New Engine Fuel Type:]],EFTable[],6,FALSE)))</f>
        <v/>
      </c>
      <c r="BU164" s="190" t="str">
        <f>IF(Table2[[#This Row],[Counter Number]]="","",Table2[[#This Row],[Old Bus CO Emissions (tons/yr)]]-Table2[[#This Row],[New Bus CO Emissions (tons/yr)]])</f>
        <v/>
      </c>
      <c r="BV164" s="188" t="str">
        <f>IF(Table2[[#This Row],[Counter Number]]="","",Table2[[#This Row],[Reduction Bus CO Emissions (tons/yr)]]/Table2[[#This Row],[Old Bus CO Emissions (tons/yr)]])</f>
        <v/>
      </c>
      <c r="BW164" s="193" t="str">
        <f>IF(Table2[[#This Row],[Counter Number]]="","",Table2[[#This Row],[Reduction Bus CO Emissions (tons/yr)]]*Table2[[#This Row],[Remaining Life:]])</f>
        <v/>
      </c>
      <c r="BX164" s="194" t="str">
        <f>IF(Table2[[#This Row],[Counter Number]]="","",IF(Table2[[#This Row],[Lifetime CO Reduction (tons)]]=0,"NA",Table2[[#This Row],[Upgrade Cost Per Unit]]/Table2[[#This Row],[Lifetime CO Reduction (tons)]]))</f>
        <v/>
      </c>
      <c r="BY164" s="180" t="str">
        <f>IF(Table2[[#This Row],[Counter Number]]="","",Table2[[#This Row],[Old ULSD Used (gal):]]*VLOOKUP(Table2[[#This Row],[Engine Model Year:]],EF!$A$2:$G$27,7,FALSE))</f>
        <v/>
      </c>
      <c r="BZ16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4" s="195" t="str">
        <f>IF(Table2[[#This Row],[Counter Number]]="","",Table2[[#This Row],[Old Bus CO2 Emissions (tons/yr)]]-Table2[[#This Row],[New Bus CO2 Emissions (tons/yr)]])</f>
        <v/>
      </c>
      <c r="CB164" s="188" t="str">
        <f>IF(Table2[[#This Row],[Counter Number]]="","",Table2[[#This Row],[Reduction Bus CO2 Emissions (tons/yr)]]/Table2[[#This Row],[Old Bus CO2 Emissions (tons/yr)]])</f>
        <v/>
      </c>
      <c r="CC164" s="195" t="str">
        <f>IF(Table2[[#This Row],[Counter Number]]="","",Table2[[#This Row],[Reduction Bus CO2 Emissions (tons/yr)]]*Table2[[#This Row],[Remaining Life:]])</f>
        <v/>
      </c>
      <c r="CD164" s="194" t="str">
        <f>IF(Table2[[#This Row],[Counter Number]]="","",IF(Table2[[#This Row],[Lifetime CO2 Reduction (tons)]]=0,"NA",Table2[[#This Row],[Upgrade Cost Per Unit]]/Table2[[#This Row],[Lifetime CO2 Reduction (tons)]]))</f>
        <v/>
      </c>
      <c r="CE164" s="182" t="str">
        <f>IF(Table2[[#This Row],[Counter Number]]="","",IF(Table2[[#This Row],[New ULSD Used (gal):]]="",Table2[[#This Row],[Old ULSD Used (gal):]],Table2[[#This Row],[Old ULSD Used (gal):]]-Table2[[#This Row],[New ULSD Used (gal):]]))</f>
        <v/>
      </c>
      <c r="CF164" s="196" t="str">
        <f>IF(Table2[[#This Row],[Counter Number]]="","",Table2[[#This Row],[Diesel Fuel Reduction (gal/yr)]]/Table2[[#This Row],[Old ULSD Used (gal):]])</f>
        <v/>
      </c>
      <c r="CG164" s="197" t="str">
        <f>IF(Table2[[#This Row],[Counter Number]]="","",Table2[[#This Row],[Diesel Fuel Reduction (gal/yr)]]*Table2[[#This Row],[Remaining Life:]])</f>
        <v/>
      </c>
    </row>
    <row r="165" spans="1:85">
      <c r="A165" s="184" t="str">
        <f>IF(A164&lt;Application!$D$24,A164+1,"")</f>
        <v/>
      </c>
      <c r="B165" s="60" t="str">
        <f>IF(Table2[[#This Row],[Counter Number]]="","",Application!$D$16)</f>
        <v/>
      </c>
      <c r="C165" s="60" t="str">
        <f>IF(Table2[[#This Row],[Counter Number]]="","",Application!$D$14)</f>
        <v/>
      </c>
      <c r="D165" s="60" t="str">
        <f>IF(Table2[[#This Row],[Counter Number]]="","",Table1[[#This Row],[Old Bus Number]])</f>
        <v/>
      </c>
      <c r="E165" s="60" t="str">
        <f>IF(Table2[[#This Row],[Counter Number]]="","",Application!$D$15)</f>
        <v/>
      </c>
      <c r="F165" s="60" t="str">
        <f>IF(Table2[[#This Row],[Counter Number]]="","","On Highway")</f>
        <v/>
      </c>
      <c r="G165" s="60" t="str">
        <f>IF(Table2[[#This Row],[Counter Number]]="","",I165)</f>
        <v/>
      </c>
      <c r="H165" s="60" t="str">
        <f>IF(Table2[[#This Row],[Counter Number]]="","","Georgia")</f>
        <v/>
      </c>
      <c r="I165" s="60" t="str">
        <f>IF(Table2[[#This Row],[Counter Number]]="","",Application!$D$16)</f>
        <v/>
      </c>
      <c r="J165" s="60" t="str">
        <f>IF(Table2[[#This Row],[Counter Number]]="","",Application!$D$21)</f>
        <v/>
      </c>
      <c r="K165" s="60" t="str">
        <f>IF(Table2[[#This Row],[Counter Number]]="","",Application!$J$21)</f>
        <v/>
      </c>
      <c r="L165" s="60" t="str">
        <f>IF(Table2[[#This Row],[Counter Number]]="","","School Bus")</f>
        <v/>
      </c>
      <c r="M165" s="60" t="str">
        <f>IF(Table2[[#This Row],[Counter Number]]="","","School Bus")</f>
        <v/>
      </c>
      <c r="N165" s="60" t="str">
        <f>IF(Table2[[#This Row],[Counter Number]]="","",1)</f>
        <v/>
      </c>
      <c r="O165" s="60" t="str">
        <f>IF(Table2[[#This Row],[Counter Number]]="","",Table1[[#This Row],[Vehicle Identification Number(s):]])</f>
        <v/>
      </c>
      <c r="P165" s="60" t="str">
        <f>IF(Table2[[#This Row],[Counter Number]]="","",Table1[[#This Row],[Old Bus Manufacturer:]])</f>
        <v/>
      </c>
      <c r="Q165" s="60" t="str">
        <f>IF(Table2[[#This Row],[Counter Number]]="","",Table1[[#This Row],[Vehicle Model:]])</f>
        <v/>
      </c>
      <c r="R165" s="165" t="str">
        <f>IF(Table2[[#This Row],[Counter Number]]="","",Table1[[#This Row],[Vehicle Model Year:]])</f>
        <v/>
      </c>
      <c r="S165" s="60" t="str">
        <f>IF(Table2[[#This Row],[Counter Number]]="","",Table1[[#This Row],[Engine Serial Number(s):]])</f>
        <v/>
      </c>
      <c r="T165" s="60" t="str">
        <f>IF(Table2[[#This Row],[Counter Number]]="","",Table1[[#This Row],[Engine Make:]])</f>
        <v/>
      </c>
      <c r="U165" s="60" t="str">
        <f>IF(Table2[[#This Row],[Counter Number]]="","",Table1[[#This Row],[Engine Model:]])</f>
        <v/>
      </c>
      <c r="V165" s="165" t="str">
        <f>IF(Table2[[#This Row],[Counter Number]]="","",Table1[[#This Row],[Engine Model Year:]])</f>
        <v/>
      </c>
      <c r="W165" s="60" t="str">
        <f>IF(Table2[[#This Row],[Counter Number]]="","","NA")</f>
        <v/>
      </c>
      <c r="X165" s="165" t="str">
        <f>IF(Table2[[#This Row],[Counter Number]]="","",Table1[[#This Row],[Engine Horsepower (HP):]])</f>
        <v/>
      </c>
      <c r="Y165" s="165" t="str">
        <f>IF(Table2[[#This Row],[Counter Number]]="","",Table1[[#This Row],[Engine Cylinder Displacement (L):]]&amp;" L")</f>
        <v/>
      </c>
      <c r="Z165" s="165" t="str">
        <f>IF(Table2[[#This Row],[Counter Number]]="","",Table1[[#This Row],[Engine Number of Cylinders:]])</f>
        <v/>
      </c>
      <c r="AA165" s="166" t="str">
        <f>IF(Table2[[#This Row],[Counter Number]]="","",Table1[[#This Row],[Engine Family Name:]])</f>
        <v/>
      </c>
      <c r="AB165" s="60" t="str">
        <f>IF(Table2[[#This Row],[Counter Number]]="","","ULSD")</f>
        <v/>
      </c>
      <c r="AC165" s="167" t="str">
        <f>IF(Table2[[#This Row],[Counter Number]]="","",Table2[[#This Row],[Annual Miles Traveled:]]/Table1[[#This Row],[Old Fuel (mpg)]])</f>
        <v/>
      </c>
      <c r="AD165" s="60" t="str">
        <f>IF(Table2[[#This Row],[Counter Number]]="","","NA")</f>
        <v/>
      </c>
      <c r="AE165" s="168" t="str">
        <f>IF(Table2[[#This Row],[Counter Number]]="","",Table1[[#This Row],[Annual Miles Traveled]])</f>
        <v/>
      </c>
      <c r="AF165" s="169" t="str">
        <f>IF(Table2[[#This Row],[Counter Number]]="","",Table1[[#This Row],[Annual Idling Hours:]])</f>
        <v/>
      </c>
      <c r="AG165" s="60" t="str">
        <f>IF(Table2[[#This Row],[Counter Number]]="","","NA")</f>
        <v/>
      </c>
      <c r="AH165" s="165" t="str">
        <f>IF(Table2[[#This Row],[Counter Number]]="","",IF(Application!$J$25="Set Policy",Table1[[#This Row],[Remaining Life (years)         Set Policy]],Table1[[#This Row],[Remaining Life (years)               Case-by-Case]]))</f>
        <v/>
      </c>
      <c r="AI165" s="165" t="str">
        <f>IF(Table2[[#This Row],[Counter Number]]="","",IF(Application!$J$25="Case-by-Case","NA",Table2[[#This Row],[Fiscal Year of EPA Funds Used:]]+Table2[[#This Row],[Remaining Life:]]))</f>
        <v/>
      </c>
      <c r="AJ165" s="165"/>
      <c r="AK165" s="170" t="str">
        <f>IF(Table2[[#This Row],[Counter Number]]="","",Application!$D$14+1)</f>
        <v/>
      </c>
      <c r="AL165" s="60" t="str">
        <f>IF(Table2[[#This Row],[Counter Number]]="","","Vehicle Replacement")</f>
        <v/>
      </c>
      <c r="AM16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5" s="171" t="str">
        <f>IF(Table2[[#This Row],[Counter Number]]="","",Table1[[#This Row],[Cost of New Bus:]])</f>
        <v/>
      </c>
      <c r="AO165" s="60" t="str">
        <f>IF(Table2[[#This Row],[Counter Number]]="","","NA")</f>
        <v/>
      </c>
      <c r="AP165" s="165" t="str">
        <f>IF(Table2[[#This Row],[Counter Number]]="","",Table1[[#This Row],[New Engine Model Year:]])</f>
        <v/>
      </c>
      <c r="AQ165" s="60" t="str">
        <f>IF(Table2[[#This Row],[Counter Number]]="","","NA")</f>
        <v/>
      </c>
      <c r="AR165" s="165" t="str">
        <f>IF(Table2[[#This Row],[Counter Number]]="","",Table1[[#This Row],[New Engine Horsepower (HP):]])</f>
        <v/>
      </c>
      <c r="AS165" s="60" t="str">
        <f>IF(Table2[[#This Row],[Counter Number]]="","","NA")</f>
        <v/>
      </c>
      <c r="AT165" s="165" t="str">
        <f>IF(Table2[[#This Row],[Counter Number]]="","",Table1[[#This Row],[New Engine Cylinder Displacement (L):]]&amp;" L")</f>
        <v/>
      </c>
      <c r="AU165" s="114" t="str">
        <f>IF(Table2[[#This Row],[Counter Number]]="","",Table1[[#This Row],[New Engine Number of Cylinders:]])</f>
        <v/>
      </c>
      <c r="AV165" s="60" t="str">
        <f>IF(Table2[[#This Row],[Counter Number]]="","",Table1[[#This Row],[New Engine Family Name:]])</f>
        <v/>
      </c>
      <c r="AW16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5" s="60" t="str">
        <f>IF(Table2[[#This Row],[Counter Number]]="","","NA")</f>
        <v/>
      </c>
      <c r="AY165" s="172" t="str">
        <f>IF(Table2[[#This Row],[Counter Number]]="","",IF(Table2[[#This Row],[New Engine Fuel Type:]]="ULSD",Table1[[#This Row],[Annual Miles Traveled]]/Table1[[#This Row],[New Fuel (mpg) if Diesel]],""))</f>
        <v/>
      </c>
      <c r="AZ165" s="60"/>
      <c r="BA165" s="173" t="str">
        <f>IF(Table2[[#This Row],[Counter Number]]="","",Table2[[#This Row],[Annual Miles Traveled:]]*VLOOKUP(Table2[[#This Row],[Engine Model Year:]],EFTable[],3,FALSE))</f>
        <v/>
      </c>
      <c r="BB165" s="173" t="str">
        <f>IF(Table2[[#This Row],[Counter Number]]="","",Table2[[#This Row],[Annual Miles Traveled:]]*IF(Table2[[#This Row],[New Engine Fuel Type:]]="ULSD",VLOOKUP(Table2[[#This Row],[New Engine Model Year:]],EFTable[],3,FALSE),VLOOKUP(Table2[[#This Row],[New Engine Fuel Type:]],EFTable[],3,FALSE)))</f>
        <v/>
      </c>
      <c r="BC165" s="187" t="str">
        <f>IF(Table2[[#This Row],[Counter Number]]="","",Table2[[#This Row],[Old Bus NOx Emissions (tons/yr)]]-Table2[[#This Row],[New Bus NOx Emissions (tons/yr)]])</f>
        <v/>
      </c>
      <c r="BD165" s="188" t="str">
        <f>IF(Table2[[#This Row],[Counter Number]]="","",Table2[[#This Row],[Reduction Bus NOx Emissions (tons/yr)]]/Table2[[#This Row],[Old Bus NOx Emissions (tons/yr)]])</f>
        <v/>
      </c>
      <c r="BE165" s="175" t="str">
        <f>IF(Table2[[#This Row],[Counter Number]]="","",Table2[[#This Row],[Reduction Bus NOx Emissions (tons/yr)]]*Table2[[#This Row],[Remaining Life:]])</f>
        <v/>
      </c>
      <c r="BF165" s="189" t="str">
        <f>IF(Table2[[#This Row],[Counter Number]]="","",IF(Table2[[#This Row],[Lifetime NOx Reduction (tons)]]=0,"NA",Table2[[#This Row],[Upgrade Cost Per Unit]]/Table2[[#This Row],[Lifetime NOx Reduction (tons)]]))</f>
        <v/>
      </c>
      <c r="BG165" s="190" t="str">
        <f>IF(Table2[[#This Row],[Counter Number]]="","",Table2[[#This Row],[Annual Miles Traveled:]]*VLOOKUP(Table2[[#This Row],[Engine Model Year:]],EF!$A$2:$G$27,4,FALSE))</f>
        <v/>
      </c>
      <c r="BH165" s="173" t="str">
        <f>IF(Table2[[#This Row],[Counter Number]]="","",Table2[[#This Row],[Annual Miles Traveled:]]*IF(Table2[[#This Row],[New Engine Fuel Type:]]="ULSD",VLOOKUP(Table2[[#This Row],[New Engine Model Year:]],EFTable[],4,FALSE),VLOOKUP(Table2[[#This Row],[New Engine Fuel Type:]],EFTable[],4,FALSE)))</f>
        <v/>
      </c>
      <c r="BI165" s="191" t="str">
        <f>IF(Table2[[#This Row],[Counter Number]]="","",Table2[[#This Row],[Old Bus PM2.5 Emissions (tons/yr)]]-Table2[[#This Row],[New Bus PM2.5 Emissions (tons/yr)]])</f>
        <v/>
      </c>
      <c r="BJ165" s="192" t="str">
        <f>IF(Table2[[#This Row],[Counter Number]]="","",Table2[[#This Row],[Reduction Bus PM2.5 Emissions (tons/yr)]]/Table2[[#This Row],[Old Bus PM2.5 Emissions (tons/yr)]])</f>
        <v/>
      </c>
      <c r="BK165" s="193" t="str">
        <f>IF(Table2[[#This Row],[Counter Number]]="","",Table2[[#This Row],[Reduction Bus PM2.5 Emissions (tons/yr)]]*Table2[[#This Row],[Remaining Life:]])</f>
        <v/>
      </c>
      <c r="BL165" s="194" t="str">
        <f>IF(Table2[[#This Row],[Counter Number]]="","",IF(Table2[[#This Row],[Lifetime PM2.5 Reduction (tons)]]=0,"NA",Table2[[#This Row],[Upgrade Cost Per Unit]]/Table2[[#This Row],[Lifetime PM2.5 Reduction (tons)]]))</f>
        <v/>
      </c>
      <c r="BM165" s="179" t="str">
        <f>IF(Table2[[#This Row],[Counter Number]]="","",Table2[[#This Row],[Annual Miles Traveled:]]*VLOOKUP(Table2[[#This Row],[Engine Model Year:]],EF!$A$2:$G$40,5,FALSE))</f>
        <v/>
      </c>
      <c r="BN165" s="173" t="str">
        <f>IF(Table2[[#This Row],[Counter Number]]="","",Table2[[#This Row],[Annual Miles Traveled:]]*IF(Table2[[#This Row],[New Engine Fuel Type:]]="ULSD",VLOOKUP(Table2[[#This Row],[New Engine Model Year:]],EFTable[],5,FALSE),VLOOKUP(Table2[[#This Row],[New Engine Fuel Type:]],EFTable[],5,FALSE)))</f>
        <v/>
      </c>
      <c r="BO165" s="190" t="str">
        <f>IF(Table2[[#This Row],[Counter Number]]="","",Table2[[#This Row],[Old Bus HC Emissions (tons/yr)]]-Table2[[#This Row],[New Bus HC Emissions (tons/yr)]])</f>
        <v/>
      </c>
      <c r="BP165" s="188" t="str">
        <f>IF(Table2[[#This Row],[Counter Number]]="","",Table2[[#This Row],[Reduction Bus HC Emissions (tons/yr)]]/Table2[[#This Row],[Old Bus HC Emissions (tons/yr)]])</f>
        <v/>
      </c>
      <c r="BQ165" s="193" t="str">
        <f>IF(Table2[[#This Row],[Counter Number]]="","",Table2[[#This Row],[Reduction Bus HC Emissions (tons/yr)]]*Table2[[#This Row],[Remaining Life:]])</f>
        <v/>
      </c>
      <c r="BR165" s="194" t="str">
        <f>IF(Table2[[#This Row],[Counter Number]]="","",IF(Table2[[#This Row],[Lifetime HC Reduction (tons)]]=0,"NA",Table2[[#This Row],[Upgrade Cost Per Unit]]/Table2[[#This Row],[Lifetime HC Reduction (tons)]]))</f>
        <v/>
      </c>
      <c r="BS165" s="191" t="str">
        <f>IF(Table2[[#This Row],[Counter Number]]="","",Table2[[#This Row],[Annual Miles Traveled:]]*VLOOKUP(Table2[[#This Row],[Engine Model Year:]],EF!$A$2:$G$27,6,FALSE))</f>
        <v/>
      </c>
      <c r="BT165" s="173" t="str">
        <f>IF(Table2[[#This Row],[Counter Number]]="","",Table2[[#This Row],[Annual Miles Traveled:]]*IF(Table2[[#This Row],[New Engine Fuel Type:]]="ULSD",VLOOKUP(Table2[[#This Row],[New Engine Model Year:]],EFTable[],6,FALSE),VLOOKUP(Table2[[#This Row],[New Engine Fuel Type:]],EFTable[],6,FALSE)))</f>
        <v/>
      </c>
      <c r="BU165" s="190" t="str">
        <f>IF(Table2[[#This Row],[Counter Number]]="","",Table2[[#This Row],[Old Bus CO Emissions (tons/yr)]]-Table2[[#This Row],[New Bus CO Emissions (tons/yr)]])</f>
        <v/>
      </c>
      <c r="BV165" s="188" t="str">
        <f>IF(Table2[[#This Row],[Counter Number]]="","",Table2[[#This Row],[Reduction Bus CO Emissions (tons/yr)]]/Table2[[#This Row],[Old Bus CO Emissions (tons/yr)]])</f>
        <v/>
      </c>
      <c r="BW165" s="193" t="str">
        <f>IF(Table2[[#This Row],[Counter Number]]="","",Table2[[#This Row],[Reduction Bus CO Emissions (tons/yr)]]*Table2[[#This Row],[Remaining Life:]])</f>
        <v/>
      </c>
      <c r="BX165" s="194" t="str">
        <f>IF(Table2[[#This Row],[Counter Number]]="","",IF(Table2[[#This Row],[Lifetime CO Reduction (tons)]]=0,"NA",Table2[[#This Row],[Upgrade Cost Per Unit]]/Table2[[#This Row],[Lifetime CO Reduction (tons)]]))</f>
        <v/>
      </c>
      <c r="BY165" s="180" t="str">
        <f>IF(Table2[[#This Row],[Counter Number]]="","",Table2[[#This Row],[Old ULSD Used (gal):]]*VLOOKUP(Table2[[#This Row],[Engine Model Year:]],EF!$A$2:$G$27,7,FALSE))</f>
        <v/>
      </c>
      <c r="BZ16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5" s="195" t="str">
        <f>IF(Table2[[#This Row],[Counter Number]]="","",Table2[[#This Row],[Old Bus CO2 Emissions (tons/yr)]]-Table2[[#This Row],[New Bus CO2 Emissions (tons/yr)]])</f>
        <v/>
      </c>
      <c r="CB165" s="188" t="str">
        <f>IF(Table2[[#This Row],[Counter Number]]="","",Table2[[#This Row],[Reduction Bus CO2 Emissions (tons/yr)]]/Table2[[#This Row],[Old Bus CO2 Emissions (tons/yr)]])</f>
        <v/>
      </c>
      <c r="CC165" s="195" t="str">
        <f>IF(Table2[[#This Row],[Counter Number]]="","",Table2[[#This Row],[Reduction Bus CO2 Emissions (tons/yr)]]*Table2[[#This Row],[Remaining Life:]])</f>
        <v/>
      </c>
      <c r="CD165" s="194" t="str">
        <f>IF(Table2[[#This Row],[Counter Number]]="","",IF(Table2[[#This Row],[Lifetime CO2 Reduction (tons)]]=0,"NA",Table2[[#This Row],[Upgrade Cost Per Unit]]/Table2[[#This Row],[Lifetime CO2 Reduction (tons)]]))</f>
        <v/>
      </c>
      <c r="CE165" s="182" t="str">
        <f>IF(Table2[[#This Row],[Counter Number]]="","",IF(Table2[[#This Row],[New ULSD Used (gal):]]="",Table2[[#This Row],[Old ULSD Used (gal):]],Table2[[#This Row],[Old ULSD Used (gal):]]-Table2[[#This Row],[New ULSD Used (gal):]]))</f>
        <v/>
      </c>
      <c r="CF165" s="196" t="str">
        <f>IF(Table2[[#This Row],[Counter Number]]="","",Table2[[#This Row],[Diesel Fuel Reduction (gal/yr)]]/Table2[[#This Row],[Old ULSD Used (gal):]])</f>
        <v/>
      </c>
      <c r="CG165" s="197" t="str">
        <f>IF(Table2[[#This Row],[Counter Number]]="","",Table2[[#This Row],[Diesel Fuel Reduction (gal/yr)]]*Table2[[#This Row],[Remaining Life:]])</f>
        <v/>
      </c>
    </row>
    <row r="166" spans="1:85">
      <c r="A166" s="184" t="str">
        <f>IF(A165&lt;Application!$D$24,A165+1,"")</f>
        <v/>
      </c>
      <c r="B166" s="60" t="str">
        <f>IF(Table2[[#This Row],[Counter Number]]="","",Application!$D$16)</f>
        <v/>
      </c>
      <c r="C166" s="60" t="str">
        <f>IF(Table2[[#This Row],[Counter Number]]="","",Application!$D$14)</f>
        <v/>
      </c>
      <c r="D166" s="60" t="str">
        <f>IF(Table2[[#This Row],[Counter Number]]="","",Table1[[#This Row],[Old Bus Number]])</f>
        <v/>
      </c>
      <c r="E166" s="60" t="str">
        <f>IF(Table2[[#This Row],[Counter Number]]="","",Application!$D$15)</f>
        <v/>
      </c>
      <c r="F166" s="60" t="str">
        <f>IF(Table2[[#This Row],[Counter Number]]="","","On Highway")</f>
        <v/>
      </c>
      <c r="G166" s="60" t="str">
        <f>IF(Table2[[#This Row],[Counter Number]]="","",I166)</f>
        <v/>
      </c>
      <c r="H166" s="60" t="str">
        <f>IF(Table2[[#This Row],[Counter Number]]="","","Georgia")</f>
        <v/>
      </c>
      <c r="I166" s="60" t="str">
        <f>IF(Table2[[#This Row],[Counter Number]]="","",Application!$D$16)</f>
        <v/>
      </c>
      <c r="J166" s="60" t="str">
        <f>IF(Table2[[#This Row],[Counter Number]]="","",Application!$D$21)</f>
        <v/>
      </c>
      <c r="K166" s="60" t="str">
        <f>IF(Table2[[#This Row],[Counter Number]]="","",Application!$J$21)</f>
        <v/>
      </c>
      <c r="L166" s="60" t="str">
        <f>IF(Table2[[#This Row],[Counter Number]]="","","School Bus")</f>
        <v/>
      </c>
      <c r="M166" s="60" t="str">
        <f>IF(Table2[[#This Row],[Counter Number]]="","","School Bus")</f>
        <v/>
      </c>
      <c r="N166" s="60" t="str">
        <f>IF(Table2[[#This Row],[Counter Number]]="","",1)</f>
        <v/>
      </c>
      <c r="O166" s="60" t="str">
        <f>IF(Table2[[#This Row],[Counter Number]]="","",Table1[[#This Row],[Vehicle Identification Number(s):]])</f>
        <v/>
      </c>
      <c r="P166" s="60" t="str">
        <f>IF(Table2[[#This Row],[Counter Number]]="","",Table1[[#This Row],[Old Bus Manufacturer:]])</f>
        <v/>
      </c>
      <c r="Q166" s="60" t="str">
        <f>IF(Table2[[#This Row],[Counter Number]]="","",Table1[[#This Row],[Vehicle Model:]])</f>
        <v/>
      </c>
      <c r="R166" s="165" t="str">
        <f>IF(Table2[[#This Row],[Counter Number]]="","",Table1[[#This Row],[Vehicle Model Year:]])</f>
        <v/>
      </c>
      <c r="S166" s="60" t="str">
        <f>IF(Table2[[#This Row],[Counter Number]]="","",Table1[[#This Row],[Engine Serial Number(s):]])</f>
        <v/>
      </c>
      <c r="T166" s="60" t="str">
        <f>IF(Table2[[#This Row],[Counter Number]]="","",Table1[[#This Row],[Engine Make:]])</f>
        <v/>
      </c>
      <c r="U166" s="60" t="str">
        <f>IF(Table2[[#This Row],[Counter Number]]="","",Table1[[#This Row],[Engine Model:]])</f>
        <v/>
      </c>
      <c r="V166" s="165" t="str">
        <f>IF(Table2[[#This Row],[Counter Number]]="","",Table1[[#This Row],[Engine Model Year:]])</f>
        <v/>
      </c>
      <c r="W166" s="60" t="str">
        <f>IF(Table2[[#This Row],[Counter Number]]="","","NA")</f>
        <v/>
      </c>
      <c r="X166" s="165" t="str">
        <f>IF(Table2[[#This Row],[Counter Number]]="","",Table1[[#This Row],[Engine Horsepower (HP):]])</f>
        <v/>
      </c>
      <c r="Y166" s="165" t="str">
        <f>IF(Table2[[#This Row],[Counter Number]]="","",Table1[[#This Row],[Engine Cylinder Displacement (L):]]&amp;" L")</f>
        <v/>
      </c>
      <c r="Z166" s="165" t="str">
        <f>IF(Table2[[#This Row],[Counter Number]]="","",Table1[[#This Row],[Engine Number of Cylinders:]])</f>
        <v/>
      </c>
      <c r="AA166" s="166" t="str">
        <f>IF(Table2[[#This Row],[Counter Number]]="","",Table1[[#This Row],[Engine Family Name:]])</f>
        <v/>
      </c>
      <c r="AB166" s="60" t="str">
        <f>IF(Table2[[#This Row],[Counter Number]]="","","ULSD")</f>
        <v/>
      </c>
      <c r="AC166" s="167" t="str">
        <f>IF(Table2[[#This Row],[Counter Number]]="","",Table2[[#This Row],[Annual Miles Traveled:]]/Table1[[#This Row],[Old Fuel (mpg)]])</f>
        <v/>
      </c>
      <c r="AD166" s="60" t="str">
        <f>IF(Table2[[#This Row],[Counter Number]]="","","NA")</f>
        <v/>
      </c>
      <c r="AE166" s="168" t="str">
        <f>IF(Table2[[#This Row],[Counter Number]]="","",Table1[[#This Row],[Annual Miles Traveled]])</f>
        <v/>
      </c>
      <c r="AF166" s="169" t="str">
        <f>IF(Table2[[#This Row],[Counter Number]]="","",Table1[[#This Row],[Annual Idling Hours:]])</f>
        <v/>
      </c>
      <c r="AG166" s="60" t="str">
        <f>IF(Table2[[#This Row],[Counter Number]]="","","NA")</f>
        <v/>
      </c>
      <c r="AH166" s="165" t="str">
        <f>IF(Table2[[#This Row],[Counter Number]]="","",IF(Application!$J$25="Set Policy",Table1[[#This Row],[Remaining Life (years)         Set Policy]],Table1[[#This Row],[Remaining Life (years)               Case-by-Case]]))</f>
        <v/>
      </c>
      <c r="AI166" s="165" t="str">
        <f>IF(Table2[[#This Row],[Counter Number]]="","",IF(Application!$J$25="Case-by-Case","NA",Table2[[#This Row],[Fiscal Year of EPA Funds Used:]]+Table2[[#This Row],[Remaining Life:]]))</f>
        <v/>
      </c>
      <c r="AJ166" s="165"/>
      <c r="AK166" s="170" t="str">
        <f>IF(Table2[[#This Row],[Counter Number]]="","",Application!$D$14+1)</f>
        <v/>
      </c>
      <c r="AL166" s="60" t="str">
        <f>IF(Table2[[#This Row],[Counter Number]]="","","Vehicle Replacement")</f>
        <v/>
      </c>
      <c r="AM16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6" s="171" t="str">
        <f>IF(Table2[[#This Row],[Counter Number]]="","",Table1[[#This Row],[Cost of New Bus:]])</f>
        <v/>
      </c>
      <c r="AO166" s="60" t="str">
        <f>IF(Table2[[#This Row],[Counter Number]]="","","NA")</f>
        <v/>
      </c>
      <c r="AP166" s="165" t="str">
        <f>IF(Table2[[#This Row],[Counter Number]]="","",Table1[[#This Row],[New Engine Model Year:]])</f>
        <v/>
      </c>
      <c r="AQ166" s="60" t="str">
        <f>IF(Table2[[#This Row],[Counter Number]]="","","NA")</f>
        <v/>
      </c>
      <c r="AR166" s="165" t="str">
        <f>IF(Table2[[#This Row],[Counter Number]]="","",Table1[[#This Row],[New Engine Horsepower (HP):]])</f>
        <v/>
      </c>
      <c r="AS166" s="60" t="str">
        <f>IF(Table2[[#This Row],[Counter Number]]="","","NA")</f>
        <v/>
      </c>
      <c r="AT166" s="165" t="str">
        <f>IF(Table2[[#This Row],[Counter Number]]="","",Table1[[#This Row],[New Engine Cylinder Displacement (L):]]&amp;" L")</f>
        <v/>
      </c>
      <c r="AU166" s="114" t="str">
        <f>IF(Table2[[#This Row],[Counter Number]]="","",Table1[[#This Row],[New Engine Number of Cylinders:]])</f>
        <v/>
      </c>
      <c r="AV166" s="60" t="str">
        <f>IF(Table2[[#This Row],[Counter Number]]="","",Table1[[#This Row],[New Engine Family Name:]])</f>
        <v/>
      </c>
      <c r="AW16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6" s="60" t="str">
        <f>IF(Table2[[#This Row],[Counter Number]]="","","NA")</f>
        <v/>
      </c>
      <c r="AY166" s="172" t="str">
        <f>IF(Table2[[#This Row],[Counter Number]]="","",IF(Table2[[#This Row],[New Engine Fuel Type:]]="ULSD",Table1[[#This Row],[Annual Miles Traveled]]/Table1[[#This Row],[New Fuel (mpg) if Diesel]],""))</f>
        <v/>
      </c>
      <c r="AZ166" s="60"/>
      <c r="BA166" s="173" t="str">
        <f>IF(Table2[[#This Row],[Counter Number]]="","",Table2[[#This Row],[Annual Miles Traveled:]]*VLOOKUP(Table2[[#This Row],[Engine Model Year:]],EFTable[],3,FALSE))</f>
        <v/>
      </c>
      <c r="BB166" s="173" t="str">
        <f>IF(Table2[[#This Row],[Counter Number]]="","",Table2[[#This Row],[Annual Miles Traveled:]]*IF(Table2[[#This Row],[New Engine Fuel Type:]]="ULSD",VLOOKUP(Table2[[#This Row],[New Engine Model Year:]],EFTable[],3,FALSE),VLOOKUP(Table2[[#This Row],[New Engine Fuel Type:]],EFTable[],3,FALSE)))</f>
        <v/>
      </c>
      <c r="BC166" s="187" t="str">
        <f>IF(Table2[[#This Row],[Counter Number]]="","",Table2[[#This Row],[Old Bus NOx Emissions (tons/yr)]]-Table2[[#This Row],[New Bus NOx Emissions (tons/yr)]])</f>
        <v/>
      </c>
      <c r="BD166" s="188" t="str">
        <f>IF(Table2[[#This Row],[Counter Number]]="","",Table2[[#This Row],[Reduction Bus NOx Emissions (tons/yr)]]/Table2[[#This Row],[Old Bus NOx Emissions (tons/yr)]])</f>
        <v/>
      </c>
      <c r="BE166" s="175" t="str">
        <f>IF(Table2[[#This Row],[Counter Number]]="","",Table2[[#This Row],[Reduction Bus NOx Emissions (tons/yr)]]*Table2[[#This Row],[Remaining Life:]])</f>
        <v/>
      </c>
      <c r="BF166" s="189" t="str">
        <f>IF(Table2[[#This Row],[Counter Number]]="","",IF(Table2[[#This Row],[Lifetime NOx Reduction (tons)]]=0,"NA",Table2[[#This Row],[Upgrade Cost Per Unit]]/Table2[[#This Row],[Lifetime NOx Reduction (tons)]]))</f>
        <v/>
      </c>
      <c r="BG166" s="190" t="str">
        <f>IF(Table2[[#This Row],[Counter Number]]="","",Table2[[#This Row],[Annual Miles Traveled:]]*VLOOKUP(Table2[[#This Row],[Engine Model Year:]],EF!$A$2:$G$27,4,FALSE))</f>
        <v/>
      </c>
      <c r="BH166" s="173" t="str">
        <f>IF(Table2[[#This Row],[Counter Number]]="","",Table2[[#This Row],[Annual Miles Traveled:]]*IF(Table2[[#This Row],[New Engine Fuel Type:]]="ULSD",VLOOKUP(Table2[[#This Row],[New Engine Model Year:]],EFTable[],4,FALSE),VLOOKUP(Table2[[#This Row],[New Engine Fuel Type:]],EFTable[],4,FALSE)))</f>
        <v/>
      </c>
      <c r="BI166" s="191" t="str">
        <f>IF(Table2[[#This Row],[Counter Number]]="","",Table2[[#This Row],[Old Bus PM2.5 Emissions (tons/yr)]]-Table2[[#This Row],[New Bus PM2.5 Emissions (tons/yr)]])</f>
        <v/>
      </c>
      <c r="BJ166" s="192" t="str">
        <f>IF(Table2[[#This Row],[Counter Number]]="","",Table2[[#This Row],[Reduction Bus PM2.5 Emissions (tons/yr)]]/Table2[[#This Row],[Old Bus PM2.5 Emissions (tons/yr)]])</f>
        <v/>
      </c>
      <c r="BK166" s="193" t="str">
        <f>IF(Table2[[#This Row],[Counter Number]]="","",Table2[[#This Row],[Reduction Bus PM2.5 Emissions (tons/yr)]]*Table2[[#This Row],[Remaining Life:]])</f>
        <v/>
      </c>
      <c r="BL166" s="194" t="str">
        <f>IF(Table2[[#This Row],[Counter Number]]="","",IF(Table2[[#This Row],[Lifetime PM2.5 Reduction (tons)]]=0,"NA",Table2[[#This Row],[Upgrade Cost Per Unit]]/Table2[[#This Row],[Lifetime PM2.5 Reduction (tons)]]))</f>
        <v/>
      </c>
      <c r="BM166" s="179" t="str">
        <f>IF(Table2[[#This Row],[Counter Number]]="","",Table2[[#This Row],[Annual Miles Traveled:]]*VLOOKUP(Table2[[#This Row],[Engine Model Year:]],EF!$A$2:$G$40,5,FALSE))</f>
        <v/>
      </c>
      <c r="BN166" s="173" t="str">
        <f>IF(Table2[[#This Row],[Counter Number]]="","",Table2[[#This Row],[Annual Miles Traveled:]]*IF(Table2[[#This Row],[New Engine Fuel Type:]]="ULSD",VLOOKUP(Table2[[#This Row],[New Engine Model Year:]],EFTable[],5,FALSE),VLOOKUP(Table2[[#This Row],[New Engine Fuel Type:]],EFTable[],5,FALSE)))</f>
        <v/>
      </c>
      <c r="BO166" s="190" t="str">
        <f>IF(Table2[[#This Row],[Counter Number]]="","",Table2[[#This Row],[Old Bus HC Emissions (tons/yr)]]-Table2[[#This Row],[New Bus HC Emissions (tons/yr)]])</f>
        <v/>
      </c>
      <c r="BP166" s="188" t="str">
        <f>IF(Table2[[#This Row],[Counter Number]]="","",Table2[[#This Row],[Reduction Bus HC Emissions (tons/yr)]]/Table2[[#This Row],[Old Bus HC Emissions (tons/yr)]])</f>
        <v/>
      </c>
      <c r="BQ166" s="193" t="str">
        <f>IF(Table2[[#This Row],[Counter Number]]="","",Table2[[#This Row],[Reduction Bus HC Emissions (tons/yr)]]*Table2[[#This Row],[Remaining Life:]])</f>
        <v/>
      </c>
      <c r="BR166" s="194" t="str">
        <f>IF(Table2[[#This Row],[Counter Number]]="","",IF(Table2[[#This Row],[Lifetime HC Reduction (tons)]]=0,"NA",Table2[[#This Row],[Upgrade Cost Per Unit]]/Table2[[#This Row],[Lifetime HC Reduction (tons)]]))</f>
        <v/>
      </c>
      <c r="BS166" s="191" t="str">
        <f>IF(Table2[[#This Row],[Counter Number]]="","",Table2[[#This Row],[Annual Miles Traveled:]]*VLOOKUP(Table2[[#This Row],[Engine Model Year:]],EF!$A$2:$G$27,6,FALSE))</f>
        <v/>
      </c>
      <c r="BT166" s="173" t="str">
        <f>IF(Table2[[#This Row],[Counter Number]]="","",Table2[[#This Row],[Annual Miles Traveled:]]*IF(Table2[[#This Row],[New Engine Fuel Type:]]="ULSD",VLOOKUP(Table2[[#This Row],[New Engine Model Year:]],EFTable[],6,FALSE),VLOOKUP(Table2[[#This Row],[New Engine Fuel Type:]],EFTable[],6,FALSE)))</f>
        <v/>
      </c>
      <c r="BU166" s="190" t="str">
        <f>IF(Table2[[#This Row],[Counter Number]]="","",Table2[[#This Row],[Old Bus CO Emissions (tons/yr)]]-Table2[[#This Row],[New Bus CO Emissions (tons/yr)]])</f>
        <v/>
      </c>
      <c r="BV166" s="188" t="str">
        <f>IF(Table2[[#This Row],[Counter Number]]="","",Table2[[#This Row],[Reduction Bus CO Emissions (tons/yr)]]/Table2[[#This Row],[Old Bus CO Emissions (tons/yr)]])</f>
        <v/>
      </c>
      <c r="BW166" s="193" t="str">
        <f>IF(Table2[[#This Row],[Counter Number]]="","",Table2[[#This Row],[Reduction Bus CO Emissions (tons/yr)]]*Table2[[#This Row],[Remaining Life:]])</f>
        <v/>
      </c>
      <c r="BX166" s="194" t="str">
        <f>IF(Table2[[#This Row],[Counter Number]]="","",IF(Table2[[#This Row],[Lifetime CO Reduction (tons)]]=0,"NA",Table2[[#This Row],[Upgrade Cost Per Unit]]/Table2[[#This Row],[Lifetime CO Reduction (tons)]]))</f>
        <v/>
      </c>
      <c r="BY166" s="180" t="str">
        <f>IF(Table2[[#This Row],[Counter Number]]="","",Table2[[#This Row],[Old ULSD Used (gal):]]*VLOOKUP(Table2[[#This Row],[Engine Model Year:]],EF!$A$2:$G$27,7,FALSE))</f>
        <v/>
      </c>
      <c r="BZ16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6" s="195" t="str">
        <f>IF(Table2[[#This Row],[Counter Number]]="","",Table2[[#This Row],[Old Bus CO2 Emissions (tons/yr)]]-Table2[[#This Row],[New Bus CO2 Emissions (tons/yr)]])</f>
        <v/>
      </c>
      <c r="CB166" s="188" t="str">
        <f>IF(Table2[[#This Row],[Counter Number]]="","",Table2[[#This Row],[Reduction Bus CO2 Emissions (tons/yr)]]/Table2[[#This Row],[Old Bus CO2 Emissions (tons/yr)]])</f>
        <v/>
      </c>
      <c r="CC166" s="195" t="str">
        <f>IF(Table2[[#This Row],[Counter Number]]="","",Table2[[#This Row],[Reduction Bus CO2 Emissions (tons/yr)]]*Table2[[#This Row],[Remaining Life:]])</f>
        <v/>
      </c>
      <c r="CD166" s="194" t="str">
        <f>IF(Table2[[#This Row],[Counter Number]]="","",IF(Table2[[#This Row],[Lifetime CO2 Reduction (tons)]]=0,"NA",Table2[[#This Row],[Upgrade Cost Per Unit]]/Table2[[#This Row],[Lifetime CO2 Reduction (tons)]]))</f>
        <v/>
      </c>
      <c r="CE166" s="182" t="str">
        <f>IF(Table2[[#This Row],[Counter Number]]="","",IF(Table2[[#This Row],[New ULSD Used (gal):]]="",Table2[[#This Row],[Old ULSD Used (gal):]],Table2[[#This Row],[Old ULSD Used (gal):]]-Table2[[#This Row],[New ULSD Used (gal):]]))</f>
        <v/>
      </c>
      <c r="CF166" s="196" t="str">
        <f>IF(Table2[[#This Row],[Counter Number]]="","",Table2[[#This Row],[Diesel Fuel Reduction (gal/yr)]]/Table2[[#This Row],[Old ULSD Used (gal):]])</f>
        <v/>
      </c>
      <c r="CG166" s="197" t="str">
        <f>IF(Table2[[#This Row],[Counter Number]]="","",Table2[[#This Row],[Diesel Fuel Reduction (gal/yr)]]*Table2[[#This Row],[Remaining Life:]])</f>
        <v/>
      </c>
    </row>
    <row r="167" spans="1:85">
      <c r="A167" s="184" t="str">
        <f>IF(A166&lt;Application!$D$24,A166+1,"")</f>
        <v/>
      </c>
      <c r="B167" s="60" t="str">
        <f>IF(Table2[[#This Row],[Counter Number]]="","",Application!$D$16)</f>
        <v/>
      </c>
      <c r="C167" s="60" t="str">
        <f>IF(Table2[[#This Row],[Counter Number]]="","",Application!$D$14)</f>
        <v/>
      </c>
      <c r="D167" s="60" t="str">
        <f>IF(Table2[[#This Row],[Counter Number]]="","",Table1[[#This Row],[Old Bus Number]])</f>
        <v/>
      </c>
      <c r="E167" s="60" t="str">
        <f>IF(Table2[[#This Row],[Counter Number]]="","",Application!$D$15)</f>
        <v/>
      </c>
      <c r="F167" s="60" t="str">
        <f>IF(Table2[[#This Row],[Counter Number]]="","","On Highway")</f>
        <v/>
      </c>
      <c r="G167" s="60" t="str">
        <f>IF(Table2[[#This Row],[Counter Number]]="","",I167)</f>
        <v/>
      </c>
      <c r="H167" s="60" t="str">
        <f>IF(Table2[[#This Row],[Counter Number]]="","","Georgia")</f>
        <v/>
      </c>
      <c r="I167" s="60" t="str">
        <f>IF(Table2[[#This Row],[Counter Number]]="","",Application!$D$16)</f>
        <v/>
      </c>
      <c r="J167" s="60" t="str">
        <f>IF(Table2[[#This Row],[Counter Number]]="","",Application!$D$21)</f>
        <v/>
      </c>
      <c r="K167" s="60" t="str">
        <f>IF(Table2[[#This Row],[Counter Number]]="","",Application!$J$21)</f>
        <v/>
      </c>
      <c r="L167" s="60" t="str">
        <f>IF(Table2[[#This Row],[Counter Number]]="","","School Bus")</f>
        <v/>
      </c>
      <c r="M167" s="60" t="str">
        <f>IF(Table2[[#This Row],[Counter Number]]="","","School Bus")</f>
        <v/>
      </c>
      <c r="N167" s="60" t="str">
        <f>IF(Table2[[#This Row],[Counter Number]]="","",1)</f>
        <v/>
      </c>
      <c r="O167" s="60" t="str">
        <f>IF(Table2[[#This Row],[Counter Number]]="","",Table1[[#This Row],[Vehicle Identification Number(s):]])</f>
        <v/>
      </c>
      <c r="P167" s="60" t="str">
        <f>IF(Table2[[#This Row],[Counter Number]]="","",Table1[[#This Row],[Old Bus Manufacturer:]])</f>
        <v/>
      </c>
      <c r="Q167" s="60" t="str">
        <f>IF(Table2[[#This Row],[Counter Number]]="","",Table1[[#This Row],[Vehicle Model:]])</f>
        <v/>
      </c>
      <c r="R167" s="165" t="str">
        <f>IF(Table2[[#This Row],[Counter Number]]="","",Table1[[#This Row],[Vehicle Model Year:]])</f>
        <v/>
      </c>
      <c r="S167" s="60" t="str">
        <f>IF(Table2[[#This Row],[Counter Number]]="","",Table1[[#This Row],[Engine Serial Number(s):]])</f>
        <v/>
      </c>
      <c r="T167" s="60" t="str">
        <f>IF(Table2[[#This Row],[Counter Number]]="","",Table1[[#This Row],[Engine Make:]])</f>
        <v/>
      </c>
      <c r="U167" s="60" t="str">
        <f>IF(Table2[[#This Row],[Counter Number]]="","",Table1[[#This Row],[Engine Model:]])</f>
        <v/>
      </c>
      <c r="V167" s="165" t="str">
        <f>IF(Table2[[#This Row],[Counter Number]]="","",Table1[[#This Row],[Engine Model Year:]])</f>
        <v/>
      </c>
      <c r="W167" s="60" t="str">
        <f>IF(Table2[[#This Row],[Counter Number]]="","","NA")</f>
        <v/>
      </c>
      <c r="X167" s="165" t="str">
        <f>IF(Table2[[#This Row],[Counter Number]]="","",Table1[[#This Row],[Engine Horsepower (HP):]])</f>
        <v/>
      </c>
      <c r="Y167" s="165" t="str">
        <f>IF(Table2[[#This Row],[Counter Number]]="","",Table1[[#This Row],[Engine Cylinder Displacement (L):]]&amp;" L")</f>
        <v/>
      </c>
      <c r="Z167" s="165" t="str">
        <f>IF(Table2[[#This Row],[Counter Number]]="","",Table1[[#This Row],[Engine Number of Cylinders:]])</f>
        <v/>
      </c>
      <c r="AA167" s="166" t="str">
        <f>IF(Table2[[#This Row],[Counter Number]]="","",Table1[[#This Row],[Engine Family Name:]])</f>
        <v/>
      </c>
      <c r="AB167" s="60" t="str">
        <f>IF(Table2[[#This Row],[Counter Number]]="","","ULSD")</f>
        <v/>
      </c>
      <c r="AC167" s="167" t="str">
        <f>IF(Table2[[#This Row],[Counter Number]]="","",Table2[[#This Row],[Annual Miles Traveled:]]/Table1[[#This Row],[Old Fuel (mpg)]])</f>
        <v/>
      </c>
      <c r="AD167" s="60" t="str">
        <f>IF(Table2[[#This Row],[Counter Number]]="","","NA")</f>
        <v/>
      </c>
      <c r="AE167" s="168" t="str">
        <f>IF(Table2[[#This Row],[Counter Number]]="","",Table1[[#This Row],[Annual Miles Traveled]])</f>
        <v/>
      </c>
      <c r="AF167" s="169" t="str">
        <f>IF(Table2[[#This Row],[Counter Number]]="","",Table1[[#This Row],[Annual Idling Hours:]])</f>
        <v/>
      </c>
      <c r="AG167" s="60" t="str">
        <f>IF(Table2[[#This Row],[Counter Number]]="","","NA")</f>
        <v/>
      </c>
      <c r="AH167" s="165" t="str">
        <f>IF(Table2[[#This Row],[Counter Number]]="","",IF(Application!$J$25="Set Policy",Table1[[#This Row],[Remaining Life (years)         Set Policy]],Table1[[#This Row],[Remaining Life (years)               Case-by-Case]]))</f>
        <v/>
      </c>
      <c r="AI167" s="165" t="str">
        <f>IF(Table2[[#This Row],[Counter Number]]="","",IF(Application!$J$25="Case-by-Case","NA",Table2[[#This Row],[Fiscal Year of EPA Funds Used:]]+Table2[[#This Row],[Remaining Life:]]))</f>
        <v/>
      </c>
      <c r="AJ167" s="165"/>
      <c r="AK167" s="170" t="str">
        <f>IF(Table2[[#This Row],[Counter Number]]="","",Application!$D$14+1)</f>
        <v/>
      </c>
      <c r="AL167" s="60" t="str">
        <f>IF(Table2[[#This Row],[Counter Number]]="","","Vehicle Replacement")</f>
        <v/>
      </c>
      <c r="AM16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7" s="171" t="str">
        <f>IF(Table2[[#This Row],[Counter Number]]="","",Table1[[#This Row],[Cost of New Bus:]])</f>
        <v/>
      </c>
      <c r="AO167" s="60" t="str">
        <f>IF(Table2[[#This Row],[Counter Number]]="","","NA")</f>
        <v/>
      </c>
      <c r="AP167" s="165" t="str">
        <f>IF(Table2[[#This Row],[Counter Number]]="","",Table1[[#This Row],[New Engine Model Year:]])</f>
        <v/>
      </c>
      <c r="AQ167" s="60" t="str">
        <f>IF(Table2[[#This Row],[Counter Number]]="","","NA")</f>
        <v/>
      </c>
      <c r="AR167" s="165" t="str">
        <f>IF(Table2[[#This Row],[Counter Number]]="","",Table1[[#This Row],[New Engine Horsepower (HP):]])</f>
        <v/>
      </c>
      <c r="AS167" s="60" t="str">
        <f>IF(Table2[[#This Row],[Counter Number]]="","","NA")</f>
        <v/>
      </c>
      <c r="AT167" s="165" t="str">
        <f>IF(Table2[[#This Row],[Counter Number]]="","",Table1[[#This Row],[New Engine Cylinder Displacement (L):]]&amp;" L")</f>
        <v/>
      </c>
      <c r="AU167" s="114" t="str">
        <f>IF(Table2[[#This Row],[Counter Number]]="","",Table1[[#This Row],[New Engine Number of Cylinders:]])</f>
        <v/>
      </c>
      <c r="AV167" s="60" t="str">
        <f>IF(Table2[[#This Row],[Counter Number]]="","",Table1[[#This Row],[New Engine Family Name:]])</f>
        <v/>
      </c>
      <c r="AW16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7" s="60" t="str">
        <f>IF(Table2[[#This Row],[Counter Number]]="","","NA")</f>
        <v/>
      </c>
      <c r="AY167" s="172" t="str">
        <f>IF(Table2[[#This Row],[Counter Number]]="","",IF(Table2[[#This Row],[New Engine Fuel Type:]]="ULSD",Table1[[#This Row],[Annual Miles Traveled]]/Table1[[#This Row],[New Fuel (mpg) if Diesel]],""))</f>
        <v/>
      </c>
      <c r="AZ167" s="60"/>
      <c r="BA167" s="173" t="str">
        <f>IF(Table2[[#This Row],[Counter Number]]="","",Table2[[#This Row],[Annual Miles Traveled:]]*VLOOKUP(Table2[[#This Row],[Engine Model Year:]],EFTable[],3,FALSE))</f>
        <v/>
      </c>
      <c r="BB167" s="173" t="str">
        <f>IF(Table2[[#This Row],[Counter Number]]="","",Table2[[#This Row],[Annual Miles Traveled:]]*IF(Table2[[#This Row],[New Engine Fuel Type:]]="ULSD",VLOOKUP(Table2[[#This Row],[New Engine Model Year:]],EFTable[],3,FALSE),VLOOKUP(Table2[[#This Row],[New Engine Fuel Type:]],EFTable[],3,FALSE)))</f>
        <v/>
      </c>
      <c r="BC167" s="187" t="str">
        <f>IF(Table2[[#This Row],[Counter Number]]="","",Table2[[#This Row],[Old Bus NOx Emissions (tons/yr)]]-Table2[[#This Row],[New Bus NOx Emissions (tons/yr)]])</f>
        <v/>
      </c>
      <c r="BD167" s="188" t="str">
        <f>IF(Table2[[#This Row],[Counter Number]]="","",Table2[[#This Row],[Reduction Bus NOx Emissions (tons/yr)]]/Table2[[#This Row],[Old Bus NOx Emissions (tons/yr)]])</f>
        <v/>
      </c>
      <c r="BE167" s="175" t="str">
        <f>IF(Table2[[#This Row],[Counter Number]]="","",Table2[[#This Row],[Reduction Bus NOx Emissions (tons/yr)]]*Table2[[#This Row],[Remaining Life:]])</f>
        <v/>
      </c>
      <c r="BF167" s="189" t="str">
        <f>IF(Table2[[#This Row],[Counter Number]]="","",IF(Table2[[#This Row],[Lifetime NOx Reduction (tons)]]=0,"NA",Table2[[#This Row],[Upgrade Cost Per Unit]]/Table2[[#This Row],[Lifetime NOx Reduction (tons)]]))</f>
        <v/>
      </c>
      <c r="BG167" s="190" t="str">
        <f>IF(Table2[[#This Row],[Counter Number]]="","",Table2[[#This Row],[Annual Miles Traveled:]]*VLOOKUP(Table2[[#This Row],[Engine Model Year:]],EF!$A$2:$G$27,4,FALSE))</f>
        <v/>
      </c>
      <c r="BH167" s="173" t="str">
        <f>IF(Table2[[#This Row],[Counter Number]]="","",Table2[[#This Row],[Annual Miles Traveled:]]*IF(Table2[[#This Row],[New Engine Fuel Type:]]="ULSD",VLOOKUP(Table2[[#This Row],[New Engine Model Year:]],EFTable[],4,FALSE),VLOOKUP(Table2[[#This Row],[New Engine Fuel Type:]],EFTable[],4,FALSE)))</f>
        <v/>
      </c>
      <c r="BI167" s="191" t="str">
        <f>IF(Table2[[#This Row],[Counter Number]]="","",Table2[[#This Row],[Old Bus PM2.5 Emissions (tons/yr)]]-Table2[[#This Row],[New Bus PM2.5 Emissions (tons/yr)]])</f>
        <v/>
      </c>
      <c r="BJ167" s="192" t="str">
        <f>IF(Table2[[#This Row],[Counter Number]]="","",Table2[[#This Row],[Reduction Bus PM2.5 Emissions (tons/yr)]]/Table2[[#This Row],[Old Bus PM2.5 Emissions (tons/yr)]])</f>
        <v/>
      </c>
      <c r="BK167" s="193" t="str">
        <f>IF(Table2[[#This Row],[Counter Number]]="","",Table2[[#This Row],[Reduction Bus PM2.5 Emissions (tons/yr)]]*Table2[[#This Row],[Remaining Life:]])</f>
        <v/>
      </c>
      <c r="BL167" s="194" t="str">
        <f>IF(Table2[[#This Row],[Counter Number]]="","",IF(Table2[[#This Row],[Lifetime PM2.5 Reduction (tons)]]=0,"NA",Table2[[#This Row],[Upgrade Cost Per Unit]]/Table2[[#This Row],[Lifetime PM2.5 Reduction (tons)]]))</f>
        <v/>
      </c>
      <c r="BM167" s="179" t="str">
        <f>IF(Table2[[#This Row],[Counter Number]]="","",Table2[[#This Row],[Annual Miles Traveled:]]*VLOOKUP(Table2[[#This Row],[Engine Model Year:]],EF!$A$2:$G$40,5,FALSE))</f>
        <v/>
      </c>
      <c r="BN167" s="173" t="str">
        <f>IF(Table2[[#This Row],[Counter Number]]="","",Table2[[#This Row],[Annual Miles Traveled:]]*IF(Table2[[#This Row],[New Engine Fuel Type:]]="ULSD",VLOOKUP(Table2[[#This Row],[New Engine Model Year:]],EFTable[],5,FALSE),VLOOKUP(Table2[[#This Row],[New Engine Fuel Type:]],EFTable[],5,FALSE)))</f>
        <v/>
      </c>
      <c r="BO167" s="190" t="str">
        <f>IF(Table2[[#This Row],[Counter Number]]="","",Table2[[#This Row],[Old Bus HC Emissions (tons/yr)]]-Table2[[#This Row],[New Bus HC Emissions (tons/yr)]])</f>
        <v/>
      </c>
      <c r="BP167" s="188" t="str">
        <f>IF(Table2[[#This Row],[Counter Number]]="","",Table2[[#This Row],[Reduction Bus HC Emissions (tons/yr)]]/Table2[[#This Row],[Old Bus HC Emissions (tons/yr)]])</f>
        <v/>
      </c>
      <c r="BQ167" s="193" t="str">
        <f>IF(Table2[[#This Row],[Counter Number]]="","",Table2[[#This Row],[Reduction Bus HC Emissions (tons/yr)]]*Table2[[#This Row],[Remaining Life:]])</f>
        <v/>
      </c>
      <c r="BR167" s="194" t="str">
        <f>IF(Table2[[#This Row],[Counter Number]]="","",IF(Table2[[#This Row],[Lifetime HC Reduction (tons)]]=0,"NA",Table2[[#This Row],[Upgrade Cost Per Unit]]/Table2[[#This Row],[Lifetime HC Reduction (tons)]]))</f>
        <v/>
      </c>
      <c r="BS167" s="191" t="str">
        <f>IF(Table2[[#This Row],[Counter Number]]="","",Table2[[#This Row],[Annual Miles Traveled:]]*VLOOKUP(Table2[[#This Row],[Engine Model Year:]],EF!$A$2:$G$27,6,FALSE))</f>
        <v/>
      </c>
      <c r="BT167" s="173" t="str">
        <f>IF(Table2[[#This Row],[Counter Number]]="","",Table2[[#This Row],[Annual Miles Traveled:]]*IF(Table2[[#This Row],[New Engine Fuel Type:]]="ULSD",VLOOKUP(Table2[[#This Row],[New Engine Model Year:]],EFTable[],6,FALSE),VLOOKUP(Table2[[#This Row],[New Engine Fuel Type:]],EFTable[],6,FALSE)))</f>
        <v/>
      </c>
      <c r="BU167" s="190" t="str">
        <f>IF(Table2[[#This Row],[Counter Number]]="","",Table2[[#This Row],[Old Bus CO Emissions (tons/yr)]]-Table2[[#This Row],[New Bus CO Emissions (tons/yr)]])</f>
        <v/>
      </c>
      <c r="BV167" s="188" t="str">
        <f>IF(Table2[[#This Row],[Counter Number]]="","",Table2[[#This Row],[Reduction Bus CO Emissions (tons/yr)]]/Table2[[#This Row],[Old Bus CO Emissions (tons/yr)]])</f>
        <v/>
      </c>
      <c r="BW167" s="193" t="str">
        <f>IF(Table2[[#This Row],[Counter Number]]="","",Table2[[#This Row],[Reduction Bus CO Emissions (tons/yr)]]*Table2[[#This Row],[Remaining Life:]])</f>
        <v/>
      </c>
      <c r="BX167" s="194" t="str">
        <f>IF(Table2[[#This Row],[Counter Number]]="","",IF(Table2[[#This Row],[Lifetime CO Reduction (tons)]]=0,"NA",Table2[[#This Row],[Upgrade Cost Per Unit]]/Table2[[#This Row],[Lifetime CO Reduction (tons)]]))</f>
        <v/>
      </c>
      <c r="BY167" s="180" t="str">
        <f>IF(Table2[[#This Row],[Counter Number]]="","",Table2[[#This Row],[Old ULSD Used (gal):]]*VLOOKUP(Table2[[#This Row],[Engine Model Year:]],EF!$A$2:$G$27,7,FALSE))</f>
        <v/>
      </c>
      <c r="BZ16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7" s="195" t="str">
        <f>IF(Table2[[#This Row],[Counter Number]]="","",Table2[[#This Row],[Old Bus CO2 Emissions (tons/yr)]]-Table2[[#This Row],[New Bus CO2 Emissions (tons/yr)]])</f>
        <v/>
      </c>
      <c r="CB167" s="188" t="str">
        <f>IF(Table2[[#This Row],[Counter Number]]="","",Table2[[#This Row],[Reduction Bus CO2 Emissions (tons/yr)]]/Table2[[#This Row],[Old Bus CO2 Emissions (tons/yr)]])</f>
        <v/>
      </c>
      <c r="CC167" s="195" t="str">
        <f>IF(Table2[[#This Row],[Counter Number]]="","",Table2[[#This Row],[Reduction Bus CO2 Emissions (tons/yr)]]*Table2[[#This Row],[Remaining Life:]])</f>
        <v/>
      </c>
      <c r="CD167" s="194" t="str">
        <f>IF(Table2[[#This Row],[Counter Number]]="","",IF(Table2[[#This Row],[Lifetime CO2 Reduction (tons)]]=0,"NA",Table2[[#This Row],[Upgrade Cost Per Unit]]/Table2[[#This Row],[Lifetime CO2 Reduction (tons)]]))</f>
        <v/>
      </c>
      <c r="CE167" s="182" t="str">
        <f>IF(Table2[[#This Row],[Counter Number]]="","",IF(Table2[[#This Row],[New ULSD Used (gal):]]="",Table2[[#This Row],[Old ULSD Used (gal):]],Table2[[#This Row],[Old ULSD Used (gal):]]-Table2[[#This Row],[New ULSD Used (gal):]]))</f>
        <v/>
      </c>
      <c r="CF167" s="196" t="str">
        <f>IF(Table2[[#This Row],[Counter Number]]="","",Table2[[#This Row],[Diesel Fuel Reduction (gal/yr)]]/Table2[[#This Row],[Old ULSD Used (gal):]])</f>
        <v/>
      </c>
      <c r="CG167" s="197" t="str">
        <f>IF(Table2[[#This Row],[Counter Number]]="","",Table2[[#This Row],[Diesel Fuel Reduction (gal/yr)]]*Table2[[#This Row],[Remaining Life:]])</f>
        <v/>
      </c>
    </row>
    <row r="168" spans="1:85">
      <c r="A168" s="184" t="str">
        <f>IF(A167&lt;Application!$D$24,A167+1,"")</f>
        <v/>
      </c>
      <c r="B168" s="60" t="str">
        <f>IF(Table2[[#This Row],[Counter Number]]="","",Application!$D$16)</f>
        <v/>
      </c>
      <c r="C168" s="60" t="str">
        <f>IF(Table2[[#This Row],[Counter Number]]="","",Application!$D$14)</f>
        <v/>
      </c>
      <c r="D168" s="60" t="str">
        <f>IF(Table2[[#This Row],[Counter Number]]="","",Table1[[#This Row],[Old Bus Number]])</f>
        <v/>
      </c>
      <c r="E168" s="60" t="str">
        <f>IF(Table2[[#This Row],[Counter Number]]="","",Application!$D$15)</f>
        <v/>
      </c>
      <c r="F168" s="60" t="str">
        <f>IF(Table2[[#This Row],[Counter Number]]="","","On Highway")</f>
        <v/>
      </c>
      <c r="G168" s="60" t="str">
        <f>IF(Table2[[#This Row],[Counter Number]]="","",I168)</f>
        <v/>
      </c>
      <c r="H168" s="60" t="str">
        <f>IF(Table2[[#This Row],[Counter Number]]="","","Georgia")</f>
        <v/>
      </c>
      <c r="I168" s="60" t="str">
        <f>IF(Table2[[#This Row],[Counter Number]]="","",Application!$D$16)</f>
        <v/>
      </c>
      <c r="J168" s="60" t="str">
        <f>IF(Table2[[#This Row],[Counter Number]]="","",Application!$D$21)</f>
        <v/>
      </c>
      <c r="K168" s="60" t="str">
        <f>IF(Table2[[#This Row],[Counter Number]]="","",Application!$J$21)</f>
        <v/>
      </c>
      <c r="L168" s="60" t="str">
        <f>IF(Table2[[#This Row],[Counter Number]]="","","School Bus")</f>
        <v/>
      </c>
      <c r="M168" s="60" t="str">
        <f>IF(Table2[[#This Row],[Counter Number]]="","","School Bus")</f>
        <v/>
      </c>
      <c r="N168" s="60" t="str">
        <f>IF(Table2[[#This Row],[Counter Number]]="","",1)</f>
        <v/>
      </c>
      <c r="O168" s="60" t="str">
        <f>IF(Table2[[#This Row],[Counter Number]]="","",Table1[[#This Row],[Vehicle Identification Number(s):]])</f>
        <v/>
      </c>
      <c r="P168" s="60" t="str">
        <f>IF(Table2[[#This Row],[Counter Number]]="","",Table1[[#This Row],[Old Bus Manufacturer:]])</f>
        <v/>
      </c>
      <c r="Q168" s="60" t="str">
        <f>IF(Table2[[#This Row],[Counter Number]]="","",Table1[[#This Row],[Vehicle Model:]])</f>
        <v/>
      </c>
      <c r="R168" s="165" t="str">
        <f>IF(Table2[[#This Row],[Counter Number]]="","",Table1[[#This Row],[Vehicle Model Year:]])</f>
        <v/>
      </c>
      <c r="S168" s="60" t="str">
        <f>IF(Table2[[#This Row],[Counter Number]]="","",Table1[[#This Row],[Engine Serial Number(s):]])</f>
        <v/>
      </c>
      <c r="T168" s="60" t="str">
        <f>IF(Table2[[#This Row],[Counter Number]]="","",Table1[[#This Row],[Engine Make:]])</f>
        <v/>
      </c>
      <c r="U168" s="60" t="str">
        <f>IF(Table2[[#This Row],[Counter Number]]="","",Table1[[#This Row],[Engine Model:]])</f>
        <v/>
      </c>
      <c r="V168" s="165" t="str">
        <f>IF(Table2[[#This Row],[Counter Number]]="","",Table1[[#This Row],[Engine Model Year:]])</f>
        <v/>
      </c>
      <c r="W168" s="60" t="str">
        <f>IF(Table2[[#This Row],[Counter Number]]="","","NA")</f>
        <v/>
      </c>
      <c r="X168" s="165" t="str">
        <f>IF(Table2[[#This Row],[Counter Number]]="","",Table1[[#This Row],[Engine Horsepower (HP):]])</f>
        <v/>
      </c>
      <c r="Y168" s="165" t="str">
        <f>IF(Table2[[#This Row],[Counter Number]]="","",Table1[[#This Row],[Engine Cylinder Displacement (L):]]&amp;" L")</f>
        <v/>
      </c>
      <c r="Z168" s="165" t="str">
        <f>IF(Table2[[#This Row],[Counter Number]]="","",Table1[[#This Row],[Engine Number of Cylinders:]])</f>
        <v/>
      </c>
      <c r="AA168" s="166" t="str">
        <f>IF(Table2[[#This Row],[Counter Number]]="","",Table1[[#This Row],[Engine Family Name:]])</f>
        <v/>
      </c>
      <c r="AB168" s="60" t="str">
        <f>IF(Table2[[#This Row],[Counter Number]]="","","ULSD")</f>
        <v/>
      </c>
      <c r="AC168" s="167" t="str">
        <f>IF(Table2[[#This Row],[Counter Number]]="","",Table2[[#This Row],[Annual Miles Traveled:]]/Table1[[#This Row],[Old Fuel (mpg)]])</f>
        <v/>
      </c>
      <c r="AD168" s="60" t="str">
        <f>IF(Table2[[#This Row],[Counter Number]]="","","NA")</f>
        <v/>
      </c>
      <c r="AE168" s="168" t="str">
        <f>IF(Table2[[#This Row],[Counter Number]]="","",Table1[[#This Row],[Annual Miles Traveled]])</f>
        <v/>
      </c>
      <c r="AF168" s="169" t="str">
        <f>IF(Table2[[#This Row],[Counter Number]]="","",Table1[[#This Row],[Annual Idling Hours:]])</f>
        <v/>
      </c>
      <c r="AG168" s="60" t="str">
        <f>IF(Table2[[#This Row],[Counter Number]]="","","NA")</f>
        <v/>
      </c>
      <c r="AH168" s="165" t="str">
        <f>IF(Table2[[#This Row],[Counter Number]]="","",IF(Application!$J$25="Set Policy",Table1[[#This Row],[Remaining Life (years)         Set Policy]],Table1[[#This Row],[Remaining Life (years)               Case-by-Case]]))</f>
        <v/>
      </c>
      <c r="AI168" s="165" t="str">
        <f>IF(Table2[[#This Row],[Counter Number]]="","",IF(Application!$J$25="Case-by-Case","NA",Table2[[#This Row],[Fiscal Year of EPA Funds Used:]]+Table2[[#This Row],[Remaining Life:]]))</f>
        <v/>
      </c>
      <c r="AJ168" s="165"/>
      <c r="AK168" s="170" t="str">
        <f>IF(Table2[[#This Row],[Counter Number]]="","",Application!$D$14+1)</f>
        <v/>
      </c>
      <c r="AL168" s="60" t="str">
        <f>IF(Table2[[#This Row],[Counter Number]]="","","Vehicle Replacement")</f>
        <v/>
      </c>
      <c r="AM16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8" s="171" t="str">
        <f>IF(Table2[[#This Row],[Counter Number]]="","",Table1[[#This Row],[Cost of New Bus:]])</f>
        <v/>
      </c>
      <c r="AO168" s="60" t="str">
        <f>IF(Table2[[#This Row],[Counter Number]]="","","NA")</f>
        <v/>
      </c>
      <c r="AP168" s="165" t="str">
        <f>IF(Table2[[#This Row],[Counter Number]]="","",Table1[[#This Row],[New Engine Model Year:]])</f>
        <v/>
      </c>
      <c r="AQ168" s="60" t="str">
        <f>IF(Table2[[#This Row],[Counter Number]]="","","NA")</f>
        <v/>
      </c>
      <c r="AR168" s="165" t="str">
        <f>IF(Table2[[#This Row],[Counter Number]]="","",Table1[[#This Row],[New Engine Horsepower (HP):]])</f>
        <v/>
      </c>
      <c r="AS168" s="60" t="str">
        <f>IF(Table2[[#This Row],[Counter Number]]="","","NA")</f>
        <v/>
      </c>
      <c r="AT168" s="165" t="str">
        <f>IF(Table2[[#This Row],[Counter Number]]="","",Table1[[#This Row],[New Engine Cylinder Displacement (L):]]&amp;" L")</f>
        <v/>
      </c>
      <c r="AU168" s="114" t="str">
        <f>IF(Table2[[#This Row],[Counter Number]]="","",Table1[[#This Row],[New Engine Number of Cylinders:]])</f>
        <v/>
      </c>
      <c r="AV168" s="60" t="str">
        <f>IF(Table2[[#This Row],[Counter Number]]="","",Table1[[#This Row],[New Engine Family Name:]])</f>
        <v/>
      </c>
      <c r="AW16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8" s="60" t="str">
        <f>IF(Table2[[#This Row],[Counter Number]]="","","NA")</f>
        <v/>
      </c>
      <c r="AY168" s="172" t="str">
        <f>IF(Table2[[#This Row],[Counter Number]]="","",IF(Table2[[#This Row],[New Engine Fuel Type:]]="ULSD",Table1[[#This Row],[Annual Miles Traveled]]/Table1[[#This Row],[New Fuel (mpg) if Diesel]],""))</f>
        <v/>
      </c>
      <c r="AZ168" s="60"/>
      <c r="BA168" s="173" t="str">
        <f>IF(Table2[[#This Row],[Counter Number]]="","",Table2[[#This Row],[Annual Miles Traveled:]]*VLOOKUP(Table2[[#This Row],[Engine Model Year:]],EFTable[],3,FALSE))</f>
        <v/>
      </c>
      <c r="BB168" s="173" t="str">
        <f>IF(Table2[[#This Row],[Counter Number]]="","",Table2[[#This Row],[Annual Miles Traveled:]]*IF(Table2[[#This Row],[New Engine Fuel Type:]]="ULSD",VLOOKUP(Table2[[#This Row],[New Engine Model Year:]],EFTable[],3,FALSE),VLOOKUP(Table2[[#This Row],[New Engine Fuel Type:]],EFTable[],3,FALSE)))</f>
        <v/>
      </c>
      <c r="BC168" s="187" t="str">
        <f>IF(Table2[[#This Row],[Counter Number]]="","",Table2[[#This Row],[Old Bus NOx Emissions (tons/yr)]]-Table2[[#This Row],[New Bus NOx Emissions (tons/yr)]])</f>
        <v/>
      </c>
      <c r="BD168" s="188" t="str">
        <f>IF(Table2[[#This Row],[Counter Number]]="","",Table2[[#This Row],[Reduction Bus NOx Emissions (tons/yr)]]/Table2[[#This Row],[Old Bus NOx Emissions (tons/yr)]])</f>
        <v/>
      </c>
      <c r="BE168" s="175" t="str">
        <f>IF(Table2[[#This Row],[Counter Number]]="","",Table2[[#This Row],[Reduction Bus NOx Emissions (tons/yr)]]*Table2[[#This Row],[Remaining Life:]])</f>
        <v/>
      </c>
      <c r="BF168" s="189" t="str">
        <f>IF(Table2[[#This Row],[Counter Number]]="","",IF(Table2[[#This Row],[Lifetime NOx Reduction (tons)]]=0,"NA",Table2[[#This Row],[Upgrade Cost Per Unit]]/Table2[[#This Row],[Lifetime NOx Reduction (tons)]]))</f>
        <v/>
      </c>
      <c r="BG168" s="190" t="str">
        <f>IF(Table2[[#This Row],[Counter Number]]="","",Table2[[#This Row],[Annual Miles Traveled:]]*VLOOKUP(Table2[[#This Row],[Engine Model Year:]],EF!$A$2:$G$27,4,FALSE))</f>
        <v/>
      </c>
      <c r="BH168" s="173" t="str">
        <f>IF(Table2[[#This Row],[Counter Number]]="","",Table2[[#This Row],[Annual Miles Traveled:]]*IF(Table2[[#This Row],[New Engine Fuel Type:]]="ULSD",VLOOKUP(Table2[[#This Row],[New Engine Model Year:]],EFTable[],4,FALSE),VLOOKUP(Table2[[#This Row],[New Engine Fuel Type:]],EFTable[],4,FALSE)))</f>
        <v/>
      </c>
      <c r="BI168" s="191" t="str">
        <f>IF(Table2[[#This Row],[Counter Number]]="","",Table2[[#This Row],[Old Bus PM2.5 Emissions (tons/yr)]]-Table2[[#This Row],[New Bus PM2.5 Emissions (tons/yr)]])</f>
        <v/>
      </c>
      <c r="BJ168" s="192" t="str">
        <f>IF(Table2[[#This Row],[Counter Number]]="","",Table2[[#This Row],[Reduction Bus PM2.5 Emissions (tons/yr)]]/Table2[[#This Row],[Old Bus PM2.5 Emissions (tons/yr)]])</f>
        <v/>
      </c>
      <c r="BK168" s="193" t="str">
        <f>IF(Table2[[#This Row],[Counter Number]]="","",Table2[[#This Row],[Reduction Bus PM2.5 Emissions (tons/yr)]]*Table2[[#This Row],[Remaining Life:]])</f>
        <v/>
      </c>
      <c r="BL168" s="194" t="str">
        <f>IF(Table2[[#This Row],[Counter Number]]="","",IF(Table2[[#This Row],[Lifetime PM2.5 Reduction (tons)]]=0,"NA",Table2[[#This Row],[Upgrade Cost Per Unit]]/Table2[[#This Row],[Lifetime PM2.5 Reduction (tons)]]))</f>
        <v/>
      </c>
      <c r="BM168" s="179" t="str">
        <f>IF(Table2[[#This Row],[Counter Number]]="","",Table2[[#This Row],[Annual Miles Traveled:]]*VLOOKUP(Table2[[#This Row],[Engine Model Year:]],EF!$A$2:$G$40,5,FALSE))</f>
        <v/>
      </c>
      <c r="BN168" s="173" t="str">
        <f>IF(Table2[[#This Row],[Counter Number]]="","",Table2[[#This Row],[Annual Miles Traveled:]]*IF(Table2[[#This Row],[New Engine Fuel Type:]]="ULSD",VLOOKUP(Table2[[#This Row],[New Engine Model Year:]],EFTable[],5,FALSE),VLOOKUP(Table2[[#This Row],[New Engine Fuel Type:]],EFTable[],5,FALSE)))</f>
        <v/>
      </c>
      <c r="BO168" s="190" t="str">
        <f>IF(Table2[[#This Row],[Counter Number]]="","",Table2[[#This Row],[Old Bus HC Emissions (tons/yr)]]-Table2[[#This Row],[New Bus HC Emissions (tons/yr)]])</f>
        <v/>
      </c>
      <c r="BP168" s="188" t="str">
        <f>IF(Table2[[#This Row],[Counter Number]]="","",Table2[[#This Row],[Reduction Bus HC Emissions (tons/yr)]]/Table2[[#This Row],[Old Bus HC Emissions (tons/yr)]])</f>
        <v/>
      </c>
      <c r="BQ168" s="193" t="str">
        <f>IF(Table2[[#This Row],[Counter Number]]="","",Table2[[#This Row],[Reduction Bus HC Emissions (tons/yr)]]*Table2[[#This Row],[Remaining Life:]])</f>
        <v/>
      </c>
      <c r="BR168" s="194" t="str">
        <f>IF(Table2[[#This Row],[Counter Number]]="","",IF(Table2[[#This Row],[Lifetime HC Reduction (tons)]]=0,"NA",Table2[[#This Row],[Upgrade Cost Per Unit]]/Table2[[#This Row],[Lifetime HC Reduction (tons)]]))</f>
        <v/>
      </c>
      <c r="BS168" s="191" t="str">
        <f>IF(Table2[[#This Row],[Counter Number]]="","",Table2[[#This Row],[Annual Miles Traveled:]]*VLOOKUP(Table2[[#This Row],[Engine Model Year:]],EF!$A$2:$G$27,6,FALSE))</f>
        <v/>
      </c>
      <c r="BT168" s="173" t="str">
        <f>IF(Table2[[#This Row],[Counter Number]]="","",Table2[[#This Row],[Annual Miles Traveled:]]*IF(Table2[[#This Row],[New Engine Fuel Type:]]="ULSD",VLOOKUP(Table2[[#This Row],[New Engine Model Year:]],EFTable[],6,FALSE),VLOOKUP(Table2[[#This Row],[New Engine Fuel Type:]],EFTable[],6,FALSE)))</f>
        <v/>
      </c>
      <c r="BU168" s="190" t="str">
        <f>IF(Table2[[#This Row],[Counter Number]]="","",Table2[[#This Row],[Old Bus CO Emissions (tons/yr)]]-Table2[[#This Row],[New Bus CO Emissions (tons/yr)]])</f>
        <v/>
      </c>
      <c r="BV168" s="188" t="str">
        <f>IF(Table2[[#This Row],[Counter Number]]="","",Table2[[#This Row],[Reduction Bus CO Emissions (tons/yr)]]/Table2[[#This Row],[Old Bus CO Emissions (tons/yr)]])</f>
        <v/>
      </c>
      <c r="BW168" s="193" t="str">
        <f>IF(Table2[[#This Row],[Counter Number]]="","",Table2[[#This Row],[Reduction Bus CO Emissions (tons/yr)]]*Table2[[#This Row],[Remaining Life:]])</f>
        <v/>
      </c>
      <c r="BX168" s="194" t="str">
        <f>IF(Table2[[#This Row],[Counter Number]]="","",IF(Table2[[#This Row],[Lifetime CO Reduction (tons)]]=0,"NA",Table2[[#This Row],[Upgrade Cost Per Unit]]/Table2[[#This Row],[Lifetime CO Reduction (tons)]]))</f>
        <v/>
      </c>
      <c r="BY168" s="180" t="str">
        <f>IF(Table2[[#This Row],[Counter Number]]="","",Table2[[#This Row],[Old ULSD Used (gal):]]*VLOOKUP(Table2[[#This Row],[Engine Model Year:]],EF!$A$2:$G$27,7,FALSE))</f>
        <v/>
      </c>
      <c r="BZ16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8" s="195" t="str">
        <f>IF(Table2[[#This Row],[Counter Number]]="","",Table2[[#This Row],[Old Bus CO2 Emissions (tons/yr)]]-Table2[[#This Row],[New Bus CO2 Emissions (tons/yr)]])</f>
        <v/>
      </c>
      <c r="CB168" s="188" t="str">
        <f>IF(Table2[[#This Row],[Counter Number]]="","",Table2[[#This Row],[Reduction Bus CO2 Emissions (tons/yr)]]/Table2[[#This Row],[Old Bus CO2 Emissions (tons/yr)]])</f>
        <v/>
      </c>
      <c r="CC168" s="195" t="str">
        <f>IF(Table2[[#This Row],[Counter Number]]="","",Table2[[#This Row],[Reduction Bus CO2 Emissions (tons/yr)]]*Table2[[#This Row],[Remaining Life:]])</f>
        <v/>
      </c>
      <c r="CD168" s="194" t="str">
        <f>IF(Table2[[#This Row],[Counter Number]]="","",IF(Table2[[#This Row],[Lifetime CO2 Reduction (tons)]]=0,"NA",Table2[[#This Row],[Upgrade Cost Per Unit]]/Table2[[#This Row],[Lifetime CO2 Reduction (tons)]]))</f>
        <v/>
      </c>
      <c r="CE168" s="182" t="str">
        <f>IF(Table2[[#This Row],[Counter Number]]="","",IF(Table2[[#This Row],[New ULSD Used (gal):]]="",Table2[[#This Row],[Old ULSD Used (gal):]],Table2[[#This Row],[Old ULSD Used (gal):]]-Table2[[#This Row],[New ULSD Used (gal):]]))</f>
        <v/>
      </c>
      <c r="CF168" s="196" t="str">
        <f>IF(Table2[[#This Row],[Counter Number]]="","",Table2[[#This Row],[Diesel Fuel Reduction (gal/yr)]]/Table2[[#This Row],[Old ULSD Used (gal):]])</f>
        <v/>
      </c>
      <c r="CG168" s="197" t="str">
        <f>IF(Table2[[#This Row],[Counter Number]]="","",Table2[[#This Row],[Diesel Fuel Reduction (gal/yr)]]*Table2[[#This Row],[Remaining Life:]])</f>
        <v/>
      </c>
    </row>
    <row r="169" spans="1:85">
      <c r="A169" s="184" t="str">
        <f>IF(A168&lt;Application!$D$24,A168+1,"")</f>
        <v/>
      </c>
      <c r="B169" s="60" t="str">
        <f>IF(Table2[[#This Row],[Counter Number]]="","",Application!$D$16)</f>
        <v/>
      </c>
      <c r="C169" s="60" t="str">
        <f>IF(Table2[[#This Row],[Counter Number]]="","",Application!$D$14)</f>
        <v/>
      </c>
      <c r="D169" s="60" t="str">
        <f>IF(Table2[[#This Row],[Counter Number]]="","",Table1[[#This Row],[Old Bus Number]])</f>
        <v/>
      </c>
      <c r="E169" s="60" t="str">
        <f>IF(Table2[[#This Row],[Counter Number]]="","",Application!$D$15)</f>
        <v/>
      </c>
      <c r="F169" s="60" t="str">
        <f>IF(Table2[[#This Row],[Counter Number]]="","","On Highway")</f>
        <v/>
      </c>
      <c r="G169" s="60" t="str">
        <f>IF(Table2[[#This Row],[Counter Number]]="","",I169)</f>
        <v/>
      </c>
      <c r="H169" s="60" t="str">
        <f>IF(Table2[[#This Row],[Counter Number]]="","","Georgia")</f>
        <v/>
      </c>
      <c r="I169" s="60" t="str">
        <f>IF(Table2[[#This Row],[Counter Number]]="","",Application!$D$16)</f>
        <v/>
      </c>
      <c r="J169" s="60" t="str">
        <f>IF(Table2[[#This Row],[Counter Number]]="","",Application!$D$21)</f>
        <v/>
      </c>
      <c r="K169" s="60" t="str">
        <f>IF(Table2[[#This Row],[Counter Number]]="","",Application!$J$21)</f>
        <v/>
      </c>
      <c r="L169" s="60" t="str">
        <f>IF(Table2[[#This Row],[Counter Number]]="","","School Bus")</f>
        <v/>
      </c>
      <c r="M169" s="60" t="str">
        <f>IF(Table2[[#This Row],[Counter Number]]="","","School Bus")</f>
        <v/>
      </c>
      <c r="N169" s="60" t="str">
        <f>IF(Table2[[#This Row],[Counter Number]]="","",1)</f>
        <v/>
      </c>
      <c r="O169" s="60" t="str">
        <f>IF(Table2[[#This Row],[Counter Number]]="","",Table1[[#This Row],[Vehicle Identification Number(s):]])</f>
        <v/>
      </c>
      <c r="P169" s="60" t="str">
        <f>IF(Table2[[#This Row],[Counter Number]]="","",Table1[[#This Row],[Old Bus Manufacturer:]])</f>
        <v/>
      </c>
      <c r="Q169" s="60" t="str">
        <f>IF(Table2[[#This Row],[Counter Number]]="","",Table1[[#This Row],[Vehicle Model:]])</f>
        <v/>
      </c>
      <c r="R169" s="165" t="str">
        <f>IF(Table2[[#This Row],[Counter Number]]="","",Table1[[#This Row],[Vehicle Model Year:]])</f>
        <v/>
      </c>
      <c r="S169" s="60" t="str">
        <f>IF(Table2[[#This Row],[Counter Number]]="","",Table1[[#This Row],[Engine Serial Number(s):]])</f>
        <v/>
      </c>
      <c r="T169" s="60" t="str">
        <f>IF(Table2[[#This Row],[Counter Number]]="","",Table1[[#This Row],[Engine Make:]])</f>
        <v/>
      </c>
      <c r="U169" s="60" t="str">
        <f>IF(Table2[[#This Row],[Counter Number]]="","",Table1[[#This Row],[Engine Model:]])</f>
        <v/>
      </c>
      <c r="V169" s="165" t="str">
        <f>IF(Table2[[#This Row],[Counter Number]]="","",Table1[[#This Row],[Engine Model Year:]])</f>
        <v/>
      </c>
      <c r="W169" s="60" t="str">
        <f>IF(Table2[[#This Row],[Counter Number]]="","","NA")</f>
        <v/>
      </c>
      <c r="X169" s="165" t="str">
        <f>IF(Table2[[#This Row],[Counter Number]]="","",Table1[[#This Row],[Engine Horsepower (HP):]])</f>
        <v/>
      </c>
      <c r="Y169" s="165" t="str">
        <f>IF(Table2[[#This Row],[Counter Number]]="","",Table1[[#This Row],[Engine Cylinder Displacement (L):]]&amp;" L")</f>
        <v/>
      </c>
      <c r="Z169" s="165" t="str">
        <f>IF(Table2[[#This Row],[Counter Number]]="","",Table1[[#This Row],[Engine Number of Cylinders:]])</f>
        <v/>
      </c>
      <c r="AA169" s="166" t="str">
        <f>IF(Table2[[#This Row],[Counter Number]]="","",Table1[[#This Row],[Engine Family Name:]])</f>
        <v/>
      </c>
      <c r="AB169" s="60" t="str">
        <f>IF(Table2[[#This Row],[Counter Number]]="","","ULSD")</f>
        <v/>
      </c>
      <c r="AC169" s="167" t="str">
        <f>IF(Table2[[#This Row],[Counter Number]]="","",Table2[[#This Row],[Annual Miles Traveled:]]/Table1[[#This Row],[Old Fuel (mpg)]])</f>
        <v/>
      </c>
      <c r="AD169" s="60" t="str">
        <f>IF(Table2[[#This Row],[Counter Number]]="","","NA")</f>
        <v/>
      </c>
      <c r="AE169" s="168" t="str">
        <f>IF(Table2[[#This Row],[Counter Number]]="","",Table1[[#This Row],[Annual Miles Traveled]])</f>
        <v/>
      </c>
      <c r="AF169" s="169" t="str">
        <f>IF(Table2[[#This Row],[Counter Number]]="","",Table1[[#This Row],[Annual Idling Hours:]])</f>
        <v/>
      </c>
      <c r="AG169" s="60" t="str">
        <f>IF(Table2[[#This Row],[Counter Number]]="","","NA")</f>
        <v/>
      </c>
      <c r="AH169" s="165" t="str">
        <f>IF(Table2[[#This Row],[Counter Number]]="","",IF(Application!$J$25="Set Policy",Table1[[#This Row],[Remaining Life (years)         Set Policy]],Table1[[#This Row],[Remaining Life (years)               Case-by-Case]]))</f>
        <v/>
      </c>
      <c r="AI169" s="165" t="str">
        <f>IF(Table2[[#This Row],[Counter Number]]="","",IF(Application!$J$25="Case-by-Case","NA",Table2[[#This Row],[Fiscal Year of EPA Funds Used:]]+Table2[[#This Row],[Remaining Life:]]))</f>
        <v/>
      </c>
      <c r="AJ169" s="165"/>
      <c r="AK169" s="170" t="str">
        <f>IF(Table2[[#This Row],[Counter Number]]="","",Application!$D$14+1)</f>
        <v/>
      </c>
      <c r="AL169" s="60" t="str">
        <f>IF(Table2[[#This Row],[Counter Number]]="","","Vehicle Replacement")</f>
        <v/>
      </c>
      <c r="AM16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9" s="171" t="str">
        <f>IF(Table2[[#This Row],[Counter Number]]="","",Table1[[#This Row],[Cost of New Bus:]])</f>
        <v/>
      </c>
      <c r="AO169" s="60" t="str">
        <f>IF(Table2[[#This Row],[Counter Number]]="","","NA")</f>
        <v/>
      </c>
      <c r="AP169" s="165" t="str">
        <f>IF(Table2[[#This Row],[Counter Number]]="","",Table1[[#This Row],[New Engine Model Year:]])</f>
        <v/>
      </c>
      <c r="AQ169" s="60" t="str">
        <f>IF(Table2[[#This Row],[Counter Number]]="","","NA")</f>
        <v/>
      </c>
      <c r="AR169" s="165" t="str">
        <f>IF(Table2[[#This Row],[Counter Number]]="","",Table1[[#This Row],[New Engine Horsepower (HP):]])</f>
        <v/>
      </c>
      <c r="AS169" s="60" t="str">
        <f>IF(Table2[[#This Row],[Counter Number]]="","","NA")</f>
        <v/>
      </c>
      <c r="AT169" s="165" t="str">
        <f>IF(Table2[[#This Row],[Counter Number]]="","",Table1[[#This Row],[New Engine Cylinder Displacement (L):]]&amp;" L")</f>
        <v/>
      </c>
      <c r="AU169" s="114" t="str">
        <f>IF(Table2[[#This Row],[Counter Number]]="","",Table1[[#This Row],[New Engine Number of Cylinders:]])</f>
        <v/>
      </c>
      <c r="AV169" s="60" t="str">
        <f>IF(Table2[[#This Row],[Counter Number]]="","",Table1[[#This Row],[New Engine Family Name:]])</f>
        <v/>
      </c>
      <c r="AW16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9" s="60" t="str">
        <f>IF(Table2[[#This Row],[Counter Number]]="","","NA")</f>
        <v/>
      </c>
      <c r="AY169" s="172" t="str">
        <f>IF(Table2[[#This Row],[Counter Number]]="","",IF(Table2[[#This Row],[New Engine Fuel Type:]]="ULSD",Table1[[#This Row],[Annual Miles Traveled]]/Table1[[#This Row],[New Fuel (mpg) if Diesel]],""))</f>
        <v/>
      </c>
      <c r="AZ169" s="60"/>
      <c r="BA169" s="173" t="str">
        <f>IF(Table2[[#This Row],[Counter Number]]="","",Table2[[#This Row],[Annual Miles Traveled:]]*VLOOKUP(Table2[[#This Row],[Engine Model Year:]],EFTable[],3,FALSE))</f>
        <v/>
      </c>
      <c r="BB169" s="173" t="str">
        <f>IF(Table2[[#This Row],[Counter Number]]="","",Table2[[#This Row],[Annual Miles Traveled:]]*IF(Table2[[#This Row],[New Engine Fuel Type:]]="ULSD",VLOOKUP(Table2[[#This Row],[New Engine Model Year:]],EFTable[],3,FALSE),VLOOKUP(Table2[[#This Row],[New Engine Fuel Type:]],EFTable[],3,FALSE)))</f>
        <v/>
      </c>
      <c r="BC169" s="187" t="str">
        <f>IF(Table2[[#This Row],[Counter Number]]="","",Table2[[#This Row],[Old Bus NOx Emissions (tons/yr)]]-Table2[[#This Row],[New Bus NOx Emissions (tons/yr)]])</f>
        <v/>
      </c>
      <c r="BD169" s="188" t="str">
        <f>IF(Table2[[#This Row],[Counter Number]]="","",Table2[[#This Row],[Reduction Bus NOx Emissions (tons/yr)]]/Table2[[#This Row],[Old Bus NOx Emissions (tons/yr)]])</f>
        <v/>
      </c>
      <c r="BE169" s="175" t="str">
        <f>IF(Table2[[#This Row],[Counter Number]]="","",Table2[[#This Row],[Reduction Bus NOx Emissions (tons/yr)]]*Table2[[#This Row],[Remaining Life:]])</f>
        <v/>
      </c>
      <c r="BF169" s="189" t="str">
        <f>IF(Table2[[#This Row],[Counter Number]]="","",IF(Table2[[#This Row],[Lifetime NOx Reduction (tons)]]=0,"NA",Table2[[#This Row],[Upgrade Cost Per Unit]]/Table2[[#This Row],[Lifetime NOx Reduction (tons)]]))</f>
        <v/>
      </c>
      <c r="BG169" s="190" t="str">
        <f>IF(Table2[[#This Row],[Counter Number]]="","",Table2[[#This Row],[Annual Miles Traveled:]]*VLOOKUP(Table2[[#This Row],[Engine Model Year:]],EF!$A$2:$G$27,4,FALSE))</f>
        <v/>
      </c>
      <c r="BH169" s="173" t="str">
        <f>IF(Table2[[#This Row],[Counter Number]]="","",Table2[[#This Row],[Annual Miles Traveled:]]*IF(Table2[[#This Row],[New Engine Fuel Type:]]="ULSD",VLOOKUP(Table2[[#This Row],[New Engine Model Year:]],EFTable[],4,FALSE),VLOOKUP(Table2[[#This Row],[New Engine Fuel Type:]],EFTable[],4,FALSE)))</f>
        <v/>
      </c>
      <c r="BI169" s="191" t="str">
        <f>IF(Table2[[#This Row],[Counter Number]]="","",Table2[[#This Row],[Old Bus PM2.5 Emissions (tons/yr)]]-Table2[[#This Row],[New Bus PM2.5 Emissions (tons/yr)]])</f>
        <v/>
      </c>
      <c r="BJ169" s="192" t="str">
        <f>IF(Table2[[#This Row],[Counter Number]]="","",Table2[[#This Row],[Reduction Bus PM2.5 Emissions (tons/yr)]]/Table2[[#This Row],[Old Bus PM2.5 Emissions (tons/yr)]])</f>
        <v/>
      </c>
      <c r="BK169" s="193" t="str">
        <f>IF(Table2[[#This Row],[Counter Number]]="","",Table2[[#This Row],[Reduction Bus PM2.5 Emissions (tons/yr)]]*Table2[[#This Row],[Remaining Life:]])</f>
        <v/>
      </c>
      <c r="BL169" s="194" t="str">
        <f>IF(Table2[[#This Row],[Counter Number]]="","",IF(Table2[[#This Row],[Lifetime PM2.5 Reduction (tons)]]=0,"NA",Table2[[#This Row],[Upgrade Cost Per Unit]]/Table2[[#This Row],[Lifetime PM2.5 Reduction (tons)]]))</f>
        <v/>
      </c>
      <c r="BM169" s="179" t="str">
        <f>IF(Table2[[#This Row],[Counter Number]]="","",Table2[[#This Row],[Annual Miles Traveled:]]*VLOOKUP(Table2[[#This Row],[Engine Model Year:]],EF!$A$2:$G$40,5,FALSE))</f>
        <v/>
      </c>
      <c r="BN169" s="173" t="str">
        <f>IF(Table2[[#This Row],[Counter Number]]="","",Table2[[#This Row],[Annual Miles Traveled:]]*IF(Table2[[#This Row],[New Engine Fuel Type:]]="ULSD",VLOOKUP(Table2[[#This Row],[New Engine Model Year:]],EFTable[],5,FALSE),VLOOKUP(Table2[[#This Row],[New Engine Fuel Type:]],EFTable[],5,FALSE)))</f>
        <v/>
      </c>
      <c r="BO169" s="190" t="str">
        <f>IF(Table2[[#This Row],[Counter Number]]="","",Table2[[#This Row],[Old Bus HC Emissions (tons/yr)]]-Table2[[#This Row],[New Bus HC Emissions (tons/yr)]])</f>
        <v/>
      </c>
      <c r="BP169" s="188" t="str">
        <f>IF(Table2[[#This Row],[Counter Number]]="","",Table2[[#This Row],[Reduction Bus HC Emissions (tons/yr)]]/Table2[[#This Row],[Old Bus HC Emissions (tons/yr)]])</f>
        <v/>
      </c>
      <c r="BQ169" s="193" t="str">
        <f>IF(Table2[[#This Row],[Counter Number]]="","",Table2[[#This Row],[Reduction Bus HC Emissions (tons/yr)]]*Table2[[#This Row],[Remaining Life:]])</f>
        <v/>
      </c>
      <c r="BR169" s="194" t="str">
        <f>IF(Table2[[#This Row],[Counter Number]]="","",IF(Table2[[#This Row],[Lifetime HC Reduction (tons)]]=0,"NA",Table2[[#This Row],[Upgrade Cost Per Unit]]/Table2[[#This Row],[Lifetime HC Reduction (tons)]]))</f>
        <v/>
      </c>
      <c r="BS169" s="191" t="str">
        <f>IF(Table2[[#This Row],[Counter Number]]="","",Table2[[#This Row],[Annual Miles Traveled:]]*VLOOKUP(Table2[[#This Row],[Engine Model Year:]],EF!$A$2:$G$27,6,FALSE))</f>
        <v/>
      </c>
      <c r="BT169" s="173" t="str">
        <f>IF(Table2[[#This Row],[Counter Number]]="","",Table2[[#This Row],[Annual Miles Traveled:]]*IF(Table2[[#This Row],[New Engine Fuel Type:]]="ULSD",VLOOKUP(Table2[[#This Row],[New Engine Model Year:]],EFTable[],6,FALSE),VLOOKUP(Table2[[#This Row],[New Engine Fuel Type:]],EFTable[],6,FALSE)))</f>
        <v/>
      </c>
      <c r="BU169" s="190" t="str">
        <f>IF(Table2[[#This Row],[Counter Number]]="","",Table2[[#This Row],[Old Bus CO Emissions (tons/yr)]]-Table2[[#This Row],[New Bus CO Emissions (tons/yr)]])</f>
        <v/>
      </c>
      <c r="BV169" s="188" t="str">
        <f>IF(Table2[[#This Row],[Counter Number]]="","",Table2[[#This Row],[Reduction Bus CO Emissions (tons/yr)]]/Table2[[#This Row],[Old Bus CO Emissions (tons/yr)]])</f>
        <v/>
      </c>
      <c r="BW169" s="193" t="str">
        <f>IF(Table2[[#This Row],[Counter Number]]="","",Table2[[#This Row],[Reduction Bus CO Emissions (tons/yr)]]*Table2[[#This Row],[Remaining Life:]])</f>
        <v/>
      </c>
      <c r="BX169" s="194" t="str">
        <f>IF(Table2[[#This Row],[Counter Number]]="","",IF(Table2[[#This Row],[Lifetime CO Reduction (tons)]]=0,"NA",Table2[[#This Row],[Upgrade Cost Per Unit]]/Table2[[#This Row],[Lifetime CO Reduction (tons)]]))</f>
        <v/>
      </c>
      <c r="BY169" s="180" t="str">
        <f>IF(Table2[[#This Row],[Counter Number]]="","",Table2[[#This Row],[Old ULSD Used (gal):]]*VLOOKUP(Table2[[#This Row],[Engine Model Year:]],EF!$A$2:$G$27,7,FALSE))</f>
        <v/>
      </c>
      <c r="BZ16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9" s="195" t="str">
        <f>IF(Table2[[#This Row],[Counter Number]]="","",Table2[[#This Row],[Old Bus CO2 Emissions (tons/yr)]]-Table2[[#This Row],[New Bus CO2 Emissions (tons/yr)]])</f>
        <v/>
      </c>
      <c r="CB169" s="188" t="str">
        <f>IF(Table2[[#This Row],[Counter Number]]="","",Table2[[#This Row],[Reduction Bus CO2 Emissions (tons/yr)]]/Table2[[#This Row],[Old Bus CO2 Emissions (tons/yr)]])</f>
        <v/>
      </c>
      <c r="CC169" s="195" t="str">
        <f>IF(Table2[[#This Row],[Counter Number]]="","",Table2[[#This Row],[Reduction Bus CO2 Emissions (tons/yr)]]*Table2[[#This Row],[Remaining Life:]])</f>
        <v/>
      </c>
      <c r="CD169" s="194" t="str">
        <f>IF(Table2[[#This Row],[Counter Number]]="","",IF(Table2[[#This Row],[Lifetime CO2 Reduction (tons)]]=0,"NA",Table2[[#This Row],[Upgrade Cost Per Unit]]/Table2[[#This Row],[Lifetime CO2 Reduction (tons)]]))</f>
        <v/>
      </c>
      <c r="CE169" s="182" t="str">
        <f>IF(Table2[[#This Row],[Counter Number]]="","",IF(Table2[[#This Row],[New ULSD Used (gal):]]="",Table2[[#This Row],[Old ULSD Used (gal):]],Table2[[#This Row],[Old ULSD Used (gal):]]-Table2[[#This Row],[New ULSD Used (gal):]]))</f>
        <v/>
      </c>
      <c r="CF169" s="196" t="str">
        <f>IF(Table2[[#This Row],[Counter Number]]="","",Table2[[#This Row],[Diesel Fuel Reduction (gal/yr)]]/Table2[[#This Row],[Old ULSD Used (gal):]])</f>
        <v/>
      </c>
      <c r="CG169" s="197" t="str">
        <f>IF(Table2[[#This Row],[Counter Number]]="","",Table2[[#This Row],[Diesel Fuel Reduction (gal/yr)]]*Table2[[#This Row],[Remaining Life:]])</f>
        <v/>
      </c>
    </row>
    <row r="170" spans="1:85">
      <c r="A170" s="184" t="str">
        <f>IF(A169&lt;Application!$D$24,A169+1,"")</f>
        <v/>
      </c>
      <c r="B170" s="60" t="str">
        <f>IF(Table2[[#This Row],[Counter Number]]="","",Application!$D$16)</f>
        <v/>
      </c>
      <c r="C170" s="60" t="str">
        <f>IF(Table2[[#This Row],[Counter Number]]="","",Application!$D$14)</f>
        <v/>
      </c>
      <c r="D170" s="60" t="str">
        <f>IF(Table2[[#This Row],[Counter Number]]="","",Table1[[#This Row],[Old Bus Number]])</f>
        <v/>
      </c>
      <c r="E170" s="60" t="str">
        <f>IF(Table2[[#This Row],[Counter Number]]="","",Application!$D$15)</f>
        <v/>
      </c>
      <c r="F170" s="60" t="str">
        <f>IF(Table2[[#This Row],[Counter Number]]="","","On Highway")</f>
        <v/>
      </c>
      <c r="G170" s="60" t="str">
        <f>IF(Table2[[#This Row],[Counter Number]]="","",I170)</f>
        <v/>
      </c>
      <c r="H170" s="60" t="str">
        <f>IF(Table2[[#This Row],[Counter Number]]="","","Georgia")</f>
        <v/>
      </c>
      <c r="I170" s="60" t="str">
        <f>IF(Table2[[#This Row],[Counter Number]]="","",Application!$D$16)</f>
        <v/>
      </c>
      <c r="J170" s="60" t="str">
        <f>IF(Table2[[#This Row],[Counter Number]]="","",Application!$D$21)</f>
        <v/>
      </c>
      <c r="K170" s="60" t="str">
        <f>IF(Table2[[#This Row],[Counter Number]]="","",Application!$J$21)</f>
        <v/>
      </c>
      <c r="L170" s="60" t="str">
        <f>IF(Table2[[#This Row],[Counter Number]]="","","School Bus")</f>
        <v/>
      </c>
      <c r="M170" s="60" t="str">
        <f>IF(Table2[[#This Row],[Counter Number]]="","","School Bus")</f>
        <v/>
      </c>
      <c r="N170" s="60" t="str">
        <f>IF(Table2[[#This Row],[Counter Number]]="","",1)</f>
        <v/>
      </c>
      <c r="O170" s="60" t="str">
        <f>IF(Table2[[#This Row],[Counter Number]]="","",Table1[[#This Row],[Vehicle Identification Number(s):]])</f>
        <v/>
      </c>
      <c r="P170" s="60" t="str">
        <f>IF(Table2[[#This Row],[Counter Number]]="","",Table1[[#This Row],[Old Bus Manufacturer:]])</f>
        <v/>
      </c>
      <c r="Q170" s="60" t="str">
        <f>IF(Table2[[#This Row],[Counter Number]]="","",Table1[[#This Row],[Vehicle Model:]])</f>
        <v/>
      </c>
      <c r="R170" s="165" t="str">
        <f>IF(Table2[[#This Row],[Counter Number]]="","",Table1[[#This Row],[Vehicle Model Year:]])</f>
        <v/>
      </c>
      <c r="S170" s="60" t="str">
        <f>IF(Table2[[#This Row],[Counter Number]]="","",Table1[[#This Row],[Engine Serial Number(s):]])</f>
        <v/>
      </c>
      <c r="T170" s="60" t="str">
        <f>IF(Table2[[#This Row],[Counter Number]]="","",Table1[[#This Row],[Engine Make:]])</f>
        <v/>
      </c>
      <c r="U170" s="60" t="str">
        <f>IF(Table2[[#This Row],[Counter Number]]="","",Table1[[#This Row],[Engine Model:]])</f>
        <v/>
      </c>
      <c r="V170" s="165" t="str">
        <f>IF(Table2[[#This Row],[Counter Number]]="","",Table1[[#This Row],[Engine Model Year:]])</f>
        <v/>
      </c>
      <c r="W170" s="60" t="str">
        <f>IF(Table2[[#This Row],[Counter Number]]="","","NA")</f>
        <v/>
      </c>
      <c r="X170" s="165" t="str">
        <f>IF(Table2[[#This Row],[Counter Number]]="","",Table1[[#This Row],[Engine Horsepower (HP):]])</f>
        <v/>
      </c>
      <c r="Y170" s="165" t="str">
        <f>IF(Table2[[#This Row],[Counter Number]]="","",Table1[[#This Row],[Engine Cylinder Displacement (L):]]&amp;" L")</f>
        <v/>
      </c>
      <c r="Z170" s="165" t="str">
        <f>IF(Table2[[#This Row],[Counter Number]]="","",Table1[[#This Row],[Engine Number of Cylinders:]])</f>
        <v/>
      </c>
      <c r="AA170" s="166" t="str">
        <f>IF(Table2[[#This Row],[Counter Number]]="","",Table1[[#This Row],[Engine Family Name:]])</f>
        <v/>
      </c>
      <c r="AB170" s="60" t="str">
        <f>IF(Table2[[#This Row],[Counter Number]]="","","ULSD")</f>
        <v/>
      </c>
      <c r="AC170" s="167" t="str">
        <f>IF(Table2[[#This Row],[Counter Number]]="","",Table2[[#This Row],[Annual Miles Traveled:]]/Table1[[#This Row],[Old Fuel (mpg)]])</f>
        <v/>
      </c>
      <c r="AD170" s="60" t="str">
        <f>IF(Table2[[#This Row],[Counter Number]]="","","NA")</f>
        <v/>
      </c>
      <c r="AE170" s="168" t="str">
        <f>IF(Table2[[#This Row],[Counter Number]]="","",Table1[[#This Row],[Annual Miles Traveled]])</f>
        <v/>
      </c>
      <c r="AF170" s="169" t="str">
        <f>IF(Table2[[#This Row],[Counter Number]]="","",Table1[[#This Row],[Annual Idling Hours:]])</f>
        <v/>
      </c>
      <c r="AG170" s="60" t="str">
        <f>IF(Table2[[#This Row],[Counter Number]]="","","NA")</f>
        <v/>
      </c>
      <c r="AH170" s="165" t="str">
        <f>IF(Table2[[#This Row],[Counter Number]]="","",IF(Application!$J$25="Set Policy",Table1[[#This Row],[Remaining Life (years)         Set Policy]],Table1[[#This Row],[Remaining Life (years)               Case-by-Case]]))</f>
        <v/>
      </c>
      <c r="AI170" s="165" t="str">
        <f>IF(Table2[[#This Row],[Counter Number]]="","",IF(Application!$J$25="Case-by-Case","NA",Table2[[#This Row],[Fiscal Year of EPA Funds Used:]]+Table2[[#This Row],[Remaining Life:]]))</f>
        <v/>
      </c>
      <c r="AJ170" s="165"/>
      <c r="AK170" s="170" t="str">
        <f>IF(Table2[[#This Row],[Counter Number]]="","",Application!$D$14+1)</f>
        <v/>
      </c>
      <c r="AL170" s="60" t="str">
        <f>IF(Table2[[#This Row],[Counter Number]]="","","Vehicle Replacement")</f>
        <v/>
      </c>
      <c r="AM17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0" s="171" t="str">
        <f>IF(Table2[[#This Row],[Counter Number]]="","",Table1[[#This Row],[Cost of New Bus:]])</f>
        <v/>
      </c>
      <c r="AO170" s="60" t="str">
        <f>IF(Table2[[#This Row],[Counter Number]]="","","NA")</f>
        <v/>
      </c>
      <c r="AP170" s="165" t="str">
        <f>IF(Table2[[#This Row],[Counter Number]]="","",Table1[[#This Row],[New Engine Model Year:]])</f>
        <v/>
      </c>
      <c r="AQ170" s="60" t="str">
        <f>IF(Table2[[#This Row],[Counter Number]]="","","NA")</f>
        <v/>
      </c>
      <c r="AR170" s="165" t="str">
        <f>IF(Table2[[#This Row],[Counter Number]]="","",Table1[[#This Row],[New Engine Horsepower (HP):]])</f>
        <v/>
      </c>
      <c r="AS170" s="60" t="str">
        <f>IF(Table2[[#This Row],[Counter Number]]="","","NA")</f>
        <v/>
      </c>
      <c r="AT170" s="165" t="str">
        <f>IF(Table2[[#This Row],[Counter Number]]="","",Table1[[#This Row],[New Engine Cylinder Displacement (L):]]&amp;" L")</f>
        <v/>
      </c>
      <c r="AU170" s="114" t="str">
        <f>IF(Table2[[#This Row],[Counter Number]]="","",Table1[[#This Row],[New Engine Number of Cylinders:]])</f>
        <v/>
      </c>
      <c r="AV170" s="60" t="str">
        <f>IF(Table2[[#This Row],[Counter Number]]="","",Table1[[#This Row],[New Engine Family Name:]])</f>
        <v/>
      </c>
      <c r="AW17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0" s="60" t="str">
        <f>IF(Table2[[#This Row],[Counter Number]]="","","NA")</f>
        <v/>
      </c>
      <c r="AY170" s="172" t="str">
        <f>IF(Table2[[#This Row],[Counter Number]]="","",IF(Table2[[#This Row],[New Engine Fuel Type:]]="ULSD",Table1[[#This Row],[Annual Miles Traveled]]/Table1[[#This Row],[New Fuel (mpg) if Diesel]],""))</f>
        <v/>
      </c>
      <c r="AZ170" s="60"/>
      <c r="BA170" s="173" t="str">
        <f>IF(Table2[[#This Row],[Counter Number]]="","",Table2[[#This Row],[Annual Miles Traveled:]]*VLOOKUP(Table2[[#This Row],[Engine Model Year:]],EFTable[],3,FALSE))</f>
        <v/>
      </c>
      <c r="BB170" s="173" t="str">
        <f>IF(Table2[[#This Row],[Counter Number]]="","",Table2[[#This Row],[Annual Miles Traveled:]]*IF(Table2[[#This Row],[New Engine Fuel Type:]]="ULSD",VLOOKUP(Table2[[#This Row],[New Engine Model Year:]],EFTable[],3,FALSE),VLOOKUP(Table2[[#This Row],[New Engine Fuel Type:]],EFTable[],3,FALSE)))</f>
        <v/>
      </c>
      <c r="BC170" s="187" t="str">
        <f>IF(Table2[[#This Row],[Counter Number]]="","",Table2[[#This Row],[Old Bus NOx Emissions (tons/yr)]]-Table2[[#This Row],[New Bus NOx Emissions (tons/yr)]])</f>
        <v/>
      </c>
      <c r="BD170" s="188" t="str">
        <f>IF(Table2[[#This Row],[Counter Number]]="","",Table2[[#This Row],[Reduction Bus NOx Emissions (tons/yr)]]/Table2[[#This Row],[Old Bus NOx Emissions (tons/yr)]])</f>
        <v/>
      </c>
      <c r="BE170" s="175" t="str">
        <f>IF(Table2[[#This Row],[Counter Number]]="","",Table2[[#This Row],[Reduction Bus NOx Emissions (tons/yr)]]*Table2[[#This Row],[Remaining Life:]])</f>
        <v/>
      </c>
      <c r="BF170" s="189" t="str">
        <f>IF(Table2[[#This Row],[Counter Number]]="","",IF(Table2[[#This Row],[Lifetime NOx Reduction (tons)]]=0,"NA",Table2[[#This Row],[Upgrade Cost Per Unit]]/Table2[[#This Row],[Lifetime NOx Reduction (tons)]]))</f>
        <v/>
      </c>
      <c r="BG170" s="190" t="str">
        <f>IF(Table2[[#This Row],[Counter Number]]="","",Table2[[#This Row],[Annual Miles Traveled:]]*VLOOKUP(Table2[[#This Row],[Engine Model Year:]],EF!$A$2:$G$27,4,FALSE))</f>
        <v/>
      </c>
      <c r="BH170" s="173" t="str">
        <f>IF(Table2[[#This Row],[Counter Number]]="","",Table2[[#This Row],[Annual Miles Traveled:]]*IF(Table2[[#This Row],[New Engine Fuel Type:]]="ULSD",VLOOKUP(Table2[[#This Row],[New Engine Model Year:]],EFTable[],4,FALSE),VLOOKUP(Table2[[#This Row],[New Engine Fuel Type:]],EFTable[],4,FALSE)))</f>
        <v/>
      </c>
      <c r="BI170" s="191" t="str">
        <f>IF(Table2[[#This Row],[Counter Number]]="","",Table2[[#This Row],[Old Bus PM2.5 Emissions (tons/yr)]]-Table2[[#This Row],[New Bus PM2.5 Emissions (tons/yr)]])</f>
        <v/>
      </c>
      <c r="BJ170" s="192" t="str">
        <f>IF(Table2[[#This Row],[Counter Number]]="","",Table2[[#This Row],[Reduction Bus PM2.5 Emissions (tons/yr)]]/Table2[[#This Row],[Old Bus PM2.5 Emissions (tons/yr)]])</f>
        <v/>
      </c>
      <c r="BK170" s="193" t="str">
        <f>IF(Table2[[#This Row],[Counter Number]]="","",Table2[[#This Row],[Reduction Bus PM2.5 Emissions (tons/yr)]]*Table2[[#This Row],[Remaining Life:]])</f>
        <v/>
      </c>
      <c r="BL170" s="194" t="str">
        <f>IF(Table2[[#This Row],[Counter Number]]="","",IF(Table2[[#This Row],[Lifetime PM2.5 Reduction (tons)]]=0,"NA",Table2[[#This Row],[Upgrade Cost Per Unit]]/Table2[[#This Row],[Lifetime PM2.5 Reduction (tons)]]))</f>
        <v/>
      </c>
      <c r="BM170" s="179" t="str">
        <f>IF(Table2[[#This Row],[Counter Number]]="","",Table2[[#This Row],[Annual Miles Traveled:]]*VLOOKUP(Table2[[#This Row],[Engine Model Year:]],EF!$A$2:$G$40,5,FALSE))</f>
        <v/>
      </c>
      <c r="BN170" s="173" t="str">
        <f>IF(Table2[[#This Row],[Counter Number]]="","",Table2[[#This Row],[Annual Miles Traveled:]]*IF(Table2[[#This Row],[New Engine Fuel Type:]]="ULSD",VLOOKUP(Table2[[#This Row],[New Engine Model Year:]],EFTable[],5,FALSE),VLOOKUP(Table2[[#This Row],[New Engine Fuel Type:]],EFTable[],5,FALSE)))</f>
        <v/>
      </c>
      <c r="BO170" s="190" t="str">
        <f>IF(Table2[[#This Row],[Counter Number]]="","",Table2[[#This Row],[Old Bus HC Emissions (tons/yr)]]-Table2[[#This Row],[New Bus HC Emissions (tons/yr)]])</f>
        <v/>
      </c>
      <c r="BP170" s="188" t="str">
        <f>IF(Table2[[#This Row],[Counter Number]]="","",Table2[[#This Row],[Reduction Bus HC Emissions (tons/yr)]]/Table2[[#This Row],[Old Bus HC Emissions (tons/yr)]])</f>
        <v/>
      </c>
      <c r="BQ170" s="193" t="str">
        <f>IF(Table2[[#This Row],[Counter Number]]="","",Table2[[#This Row],[Reduction Bus HC Emissions (tons/yr)]]*Table2[[#This Row],[Remaining Life:]])</f>
        <v/>
      </c>
      <c r="BR170" s="194" t="str">
        <f>IF(Table2[[#This Row],[Counter Number]]="","",IF(Table2[[#This Row],[Lifetime HC Reduction (tons)]]=0,"NA",Table2[[#This Row],[Upgrade Cost Per Unit]]/Table2[[#This Row],[Lifetime HC Reduction (tons)]]))</f>
        <v/>
      </c>
      <c r="BS170" s="191" t="str">
        <f>IF(Table2[[#This Row],[Counter Number]]="","",Table2[[#This Row],[Annual Miles Traveled:]]*VLOOKUP(Table2[[#This Row],[Engine Model Year:]],EF!$A$2:$G$27,6,FALSE))</f>
        <v/>
      </c>
      <c r="BT170" s="173" t="str">
        <f>IF(Table2[[#This Row],[Counter Number]]="","",Table2[[#This Row],[Annual Miles Traveled:]]*IF(Table2[[#This Row],[New Engine Fuel Type:]]="ULSD",VLOOKUP(Table2[[#This Row],[New Engine Model Year:]],EFTable[],6,FALSE),VLOOKUP(Table2[[#This Row],[New Engine Fuel Type:]],EFTable[],6,FALSE)))</f>
        <v/>
      </c>
      <c r="BU170" s="190" t="str">
        <f>IF(Table2[[#This Row],[Counter Number]]="","",Table2[[#This Row],[Old Bus CO Emissions (tons/yr)]]-Table2[[#This Row],[New Bus CO Emissions (tons/yr)]])</f>
        <v/>
      </c>
      <c r="BV170" s="188" t="str">
        <f>IF(Table2[[#This Row],[Counter Number]]="","",Table2[[#This Row],[Reduction Bus CO Emissions (tons/yr)]]/Table2[[#This Row],[Old Bus CO Emissions (tons/yr)]])</f>
        <v/>
      </c>
      <c r="BW170" s="193" t="str">
        <f>IF(Table2[[#This Row],[Counter Number]]="","",Table2[[#This Row],[Reduction Bus CO Emissions (tons/yr)]]*Table2[[#This Row],[Remaining Life:]])</f>
        <v/>
      </c>
      <c r="BX170" s="194" t="str">
        <f>IF(Table2[[#This Row],[Counter Number]]="","",IF(Table2[[#This Row],[Lifetime CO Reduction (tons)]]=0,"NA",Table2[[#This Row],[Upgrade Cost Per Unit]]/Table2[[#This Row],[Lifetime CO Reduction (tons)]]))</f>
        <v/>
      </c>
      <c r="BY170" s="180" t="str">
        <f>IF(Table2[[#This Row],[Counter Number]]="","",Table2[[#This Row],[Old ULSD Used (gal):]]*VLOOKUP(Table2[[#This Row],[Engine Model Year:]],EF!$A$2:$G$27,7,FALSE))</f>
        <v/>
      </c>
      <c r="BZ17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0" s="195" t="str">
        <f>IF(Table2[[#This Row],[Counter Number]]="","",Table2[[#This Row],[Old Bus CO2 Emissions (tons/yr)]]-Table2[[#This Row],[New Bus CO2 Emissions (tons/yr)]])</f>
        <v/>
      </c>
      <c r="CB170" s="188" t="str">
        <f>IF(Table2[[#This Row],[Counter Number]]="","",Table2[[#This Row],[Reduction Bus CO2 Emissions (tons/yr)]]/Table2[[#This Row],[Old Bus CO2 Emissions (tons/yr)]])</f>
        <v/>
      </c>
      <c r="CC170" s="195" t="str">
        <f>IF(Table2[[#This Row],[Counter Number]]="","",Table2[[#This Row],[Reduction Bus CO2 Emissions (tons/yr)]]*Table2[[#This Row],[Remaining Life:]])</f>
        <v/>
      </c>
      <c r="CD170" s="194" t="str">
        <f>IF(Table2[[#This Row],[Counter Number]]="","",IF(Table2[[#This Row],[Lifetime CO2 Reduction (tons)]]=0,"NA",Table2[[#This Row],[Upgrade Cost Per Unit]]/Table2[[#This Row],[Lifetime CO2 Reduction (tons)]]))</f>
        <v/>
      </c>
      <c r="CE170" s="182" t="str">
        <f>IF(Table2[[#This Row],[Counter Number]]="","",IF(Table2[[#This Row],[New ULSD Used (gal):]]="",Table2[[#This Row],[Old ULSD Used (gal):]],Table2[[#This Row],[Old ULSD Used (gal):]]-Table2[[#This Row],[New ULSD Used (gal):]]))</f>
        <v/>
      </c>
      <c r="CF170" s="196" t="str">
        <f>IF(Table2[[#This Row],[Counter Number]]="","",Table2[[#This Row],[Diesel Fuel Reduction (gal/yr)]]/Table2[[#This Row],[Old ULSD Used (gal):]])</f>
        <v/>
      </c>
      <c r="CG170" s="197" t="str">
        <f>IF(Table2[[#This Row],[Counter Number]]="","",Table2[[#This Row],[Diesel Fuel Reduction (gal/yr)]]*Table2[[#This Row],[Remaining Life:]])</f>
        <v/>
      </c>
    </row>
    <row r="171" spans="1:85">
      <c r="A171" s="184" t="str">
        <f>IF(A170&lt;Application!$D$24,A170+1,"")</f>
        <v/>
      </c>
      <c r="B171" s="60" t="str">
        <f>IF(Table2[[#This Row],[Counter Number]]="","",Application!$D$16)</f>
        <v/>
      </c>
      <c r="C171" s="60" t="str">
        <f>IF(Table2[[#This Row],[Counter Number]]="","",Application!$D$14)</f>
        <v/>
      </c>
      <c r="D171" s="60" t="str">
        <f>IF(Table2[[#This Row],[Counter Number]]="","",Table1[[#This Row],[Old Bus Number]])</f>
        <v/>
      </c>
      <c r="E171" s="60" t="str">
        <f>IF(Table2[[#This Row],[Counter Number]]="","",Application!$D$15)</f>
        <v/>
      </c>
      <c r="F171" s="60" t="str">
        <f>IF(Table2[[#This Row],[Counter Number]]="","","On Highway")</f>
        <v/>
      </c>
      <c r="G171" s="60" t="str">
        <f>IF(Table2[[#This Row],[Counter Number]]="","",I171)</f>
        <v/>
      </c>
      <c r="H171" s="60" t="str">
        <f>IF(Table2[[#This Row],[Counter Number]]="","","Georgia")</f>
        <v/>
      </c>
      <c r="I171" s="60" t="str">
        <f>IF(Table2[[#This Row],[Counter Number]]="","",Application!$D$16)</f>
        <v/>
      </c>
      <c r="J171" s="60" t="str">
        <f>IF(Table2[[#This Row],[Counter Number]]="","",Application!$D$21)</f>
        <v/>
      </c>
      <c r="K171" s="60" t="str">
        <f>IF(Table2[[#This Row],[Counter Number]]="","",Application!$J$21)</f>
        <v/>
      </c>
      <c r="L171" s="60" t="str">
        <f>IF(Table2[[#This Row],[Counter Number]]="","","School Bus")</f>
        <v/>
      </c>
      <c r="M171" s="60" t="str">
        <f>IF(Table2[[#This Row],[Counter Number]]="","","School Bus")</f>
        <v/>
      </c>
      <c r="N171" s="60" t="str">
        <f>IF(Table2[[#This Row],[Counter Number]]="","",1)</f>
        <v/>
      </c>
      <c r="O171" s="60" t="str">
        <f>IF(Table2[[#This Row],[Counter Number]]="","",Table1[[#This Row],[Vehicle Identification Number(s):]])</f>
        <v/>
      </c>
      <c r="P171" s="60" t="str">
        <f>IF(Table2[[#This Row],[Counter Number]]="","",Table1[[#This Row],[Old Bus Manufacturer:]])</f>
        <v/>
      </c>
      <c r="Q171" s="60" t="str">
        <f>IF(Table2[[#This Row],[Counter Number]]="","",Table1[[#This Row],[Vehicle Model:]])</f>
        <v/>
      </c>
      <c r="R171" s="165" t="str">
        <f>IF(Table2[[#This Row],[Counter Number]]="","",Table1[[#This Row],[Vehicle Model Year:]])</f>
        <v/>
      </c>
      <c r="S171" s="60" t="str">
        <f>IF(Table2[[#This Row],[Counter Number]]="","",Table1[[#This Row],[Engine Serial Number(s):]])</f>
        <v/>
      </c>
      <c r="T171" s="60" t="str">
        <f>IF(Table2[[#This Row],[Counter Number]]="","",Table1[[#This Row],[Engine Make:]])</f>
        <v/>
      </c>
      <c r="U171" s="60" t="str">
        <f>IF(Table2[[#This Row],[Counter Number]]="","",Table1[[#This Row],[Engine Model:]])</f>
        <v/>
      </c>
      <c r="V171" s="165" t="str">
        <f>IF(Table2[[#This Row],[Counter Number]]="","",Table1[[#This Row],[Engine Model Year:]])</f>
        <v/>
      </c>
      <c r="W171" s="60" t="str">
        <f>IF(Table2[[#This Row],[Counter Number]]="","","NA")</f>
        <v/>
      </c>
      <c r="X171" s="165" t="str">
        <f>IF(Table2[[#This Row],[Counter Number]]="","",Table1[[#This Row],[Engine Horsepower (HP):]])</f>
        <v/>
      </c>
      <c r="Y171" s="165" t="str">
        <f>IF(Table2[[#This Row],[Counter Number]]="","",Table1[[#This Row],[Engine Cylinder Displacement (L):]]&amp;" L")</f>
        <v/>
      </c>
      <c r="Z171" s="165" t="str">
        <f>IF(Table2[[#This Row],[Counter Number]]="","",Table1[[#This Row],[Engine Number of Cylinders:]])</f>
        <v/>
      </c>
      <c r="AA171" s="166" t="str">
        <f>IF(Table2[[#This Row],[Counter Number]]="","",Table1[[#This Row],[Engine Family Name:]])</f>
        <v/>
      </c>
      <c r="AB171" s="60" t="str">
        <f>IF(Table2[[#This Row],[Counter Number]]="","","ULSD")</f>
        <v/>
      </c>
      <c r="AC171" s="167" t="str">
        <f>IF(Table2[[#This Row],[Counter Number]]="","",Table2[[#This Row],[Annual Miles Traveled:]]/Table1[[#This Row],[Old Fuel (mpg)]])</f>
        <v/>
      </c>
      <c r="AD171" s="60" t="str">
        <f>IF(Table2[[#This Row],[Counter Number]]="","","NA")</f>
        <v/>
      </c>
      <c r="AE171" s="168" t="str">
        <f>IF(Table2[[#This Row],[Counter Number]]="","",Table1[[#This Row],[Annual Miles Traveled]])</f>
        <v/>
      </c>
      <c r="AF171" s="169" t="str">
        <f>IF(Table2[[#This Row],[Counter Number]]="","",Table1[[#This Row],[Annual Idling Hours:]])</f>
        <v/>
      </c>
      <c r="AG171" s="60" t="str">
        <f>IF(Table2[[#This Row],[Counter Number]]="","","NA")</f>
        <v/>
      </c>
      <c r="AH171" s="165" t="str">
        <f>IF(Table2[[#This Row],[Counter Number]]="","",IF(Application!$J$25="Set Policy",Table1[[#This Row],[Remaining Life (years)         Set Policy]],Table1[[#This Row],[Remaining Life (years)               Case-by-Case]]))</f>
        <v/>
      </c>
      <c r="AI171" s="165" t="str">
        <f>IF(Table2[[#This Row],[Counter Number]]="","",IF(Application!$J$25="Case-by-Case","NA",Table2[[#This Row],[Fiscal Year of EPA Funds Used:]]+Table2[[#This Row],[Remaining Life:]]))</f>
        <v/>
      </c>
      <c r="AJ171" s="165"/>
      <c r="AK171" s="170" t="str">
        <f>IF(Table2[[#This Row],[Counter Number]]="","",Application!$D$14+1)</f>
        <v/>
      </c>
      <c r="AL171" s="60" t="str">
        <f>IF(Table2[[#This Row],[Counter Number]]="","","Vehicle Replacement")</f>
        <v/>
      </c>
      <c r="AM17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1" s="171" t="str">
        <f>IF(Table2[[#This Row],[Counter Number]]="","",Table1[[#This Row],[Cost of New Bus:]])</f>
        <v/>
      </c>
      <c r="AO171" s="60" t="str">
        <f>IF(Table2[[#This Row],[Counter Number]]="","","NA")</f>
        <v/>
      </c>
      <c r="AP171" s="165" t="str">
        <f>IF(Table2[[#This Row],[Counter Number]]="","",Table1[[#This Row],[New Engine Model Year:]])</f>
        <v/>
      </c>
      <c r="AQ171" s="60" t="str">
        <f>IF(Table2[[#This Row],[Counter Number]]="","","NA")</f>
        <v/>
      </c>
      <c r="AR171" s="165" t="str">
        <f>IF(Table2[[#This Row],[Counter Number]]="","",Table1[[#This Row],[New Engine Horsepower (HP):]])</f>
        <v/>
      </c>
      <c r="AS171" s="60" t="str">
        <f>IF(Table2[[#This Row],[Counter Number]]="","","NA")</f>
        <v/>
      </c>
      <c r="AT171" s="165" t="str">
        <f>IF(Table2[[#This Row],[Counter Number]]="","",Table1[[#This Row],[New Engine Cylinder Displacement (L):]]&amp;" L")</f>
        <v/>
      </c>
      <c r="AU171" s="114" t="str">
        <f>IF(Table2[[#This Row],[Counter Number]]="","",Table1[[#This Row],[New Engine Number of Cylinders:]])</f>
        <v/>
      </c>
      <c r="AV171" s="60" t="str">
        <f>IF(Table2[[#This Row],[Counter Number]]="","",Table1[[#This Row],[New Engine Family Name:]])</f>
        <v/>
      </c>
      <c r="AW17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1" s="60" t="str">
        <f>IF(Table2[[#This Row],[Counter Number]]="","","NA")</f>
        <v/>
      </c>
      <c r="AY171" s="172" t="str">
        <f>IF(Table2[[#This Row],[Counter Number]]="","",IF(Table2[[#This Row],[New Engine Fuel Type:]]="ULSD",Table1[[#This Row],[Annual Miles Traveled]]/Table1[[#This Row],[New Fuel (mpg) if Diesel]],""))</f>
        <v/>
      </c>
      <c r="AZ171" s="60"/>
      <c r="BA171" s="173" t="str">
        <f>IF(Table2[[#This Row],[Counter Number]]="","",Table2[[#This Row],[Annual Miles Traveled:]]*VLOOKUP(Table2[[#This Row],[Engine Model Year:]],EFTable[],3,FALSE))</f>
        <v/>
      </c>
      <c r="BB171" s="173" t="str">
        <f>IF(Table2[[#This Row],[Counter Number]]="","",Table2[[#This Row],[Annual Miles Traveled:]]*IF(Table2[[#This Row],[New Engine Fuel Type:]]="ULSD",VLOOKUP(Table2[[#This Row],[New Engine Model Year:]],EFTable[],3,FALSE),VLOOKUP(Table2[[#This Row],[New Engine Fuel Type:]],EFTable[],3,FALSE)))</f>
        <v/>
      </c>
      <c r="BC171" s="187" t="str">
        <f>IF(Table2[[#This Row],[Counter Number]]="","",Table2[[#This Row],[Old Bus NOx Emissions (tons/yr)]]-Table2[[#This Row],[New Bus NOx Emissions (tons/yr)]])</f>
        <v/>
      </c>
      <c r="BD171" s="188" t="str">
        <f>IF(Table2[[#This Row],[Counter Number]]="","",Table2[[#This Row],[Reduction Bus NOx Emissions (tons/yr)]]/Table2[[#This Row],[Old Bus NOx Emissions (tons/yr)]])</f>
        <v/>
      </c>
      <c r="BE171" s="175" t="str">
        <f>IF(Table2[[#This Row],[Counter Number]]="","",Table2[[#This Row],[Reduction Bus NOx Emissions (tons/yr)]]*Table2[[#This Row],[Remaining Life:]])</f>
        <v/>
      </c>
      <c r="BF171" s="189" t="str">
        <f>IF(Table2[[#This Row],[Counter Number]]="","",IF(Table2[[#This Row],[Lifetime NOx Reduction (tons)]]=0,"NA",Table2[[#This Row],[Upgrade Cost Per Unit]]/Table2[[#This Row],[Lifetime NOx Reduction (tons)]]))</f>
        <v/>
      </c>
      <c r="BG171" s="190" t="str">
        <f>IF(Table2[[#This Row],[Counter Number]]="","",Table2[[#This Row],[Annual Miles Traveled:]]*VLOOKUP(Table2[[#This Row],[Engine Model Year:]],EF!$A$2:$G$27,4,FALSE))</f>
        <v/>
      </c>
      <c r="BH171" s="173" t="str">
        <f>IF(Table2[[#This Row],[Counter Number]]="","",Table2[[#This Row],[Annual Miles Traveled:]]*IF(Table2[[#This Row],[New Engine Fuel Type:]]="ULSD",VLOOKUP(Table2[[#This Row],[New Engine Model Year:]],EFTable[],4,FALSE),VLOOKUP(Table2[[#This Row],[New Engine Fuel Type:]],EFTable[],4,FALSE)))</f>
        <v/>
      </c>
      <c r="BI171" s="191" t="str">
        <f>IF(Table2[[#This Row],[Counter Number]]="","",Table2[[#This Row],[Old Bus PM2.5 Emissions (tons/yr)]]-Table2[[#This Row],[New Bus PM2.5 Emissions (tons/yr)]])</f>
        <v/>
      </c>
      <c r="BJ171" s="192" t="str">
        <f>IF(Table2[[#This Row],[Counter Number]]="","",Table2[[#This Row],[Reduction Bus PM2.5 Emissions (tons/yr)]]/Table2[[#This Row],[Old Bus PM2.5 Emissions (tons/yr)]])</f>
        <v/>
      </c>
      <c r="BK171" s="193" t="str">
        <f>IF(Table2[[#This Row],[Counter Number]]="","",Table2[[#This Row],[Reduction Bus PM2.5 Emissions (tons/yr)]]*Table2[[#This Row],[Remaining Life:]])</f>
        <v/>
      </c>
      <c r="BL171" s="194" t="str">
        <f>IF(Table2[[#This Row],[Counter Number]]="","",IF(Table2[[#This Row],[Lifetime PM2.5 Reduction (tons)]]=0,"NA",Table2[[#This Row],[Upgrade Cost Per Unit]]/Table2[[#This Row],[Lifetime PM2.5 Reduction (tons)]]))</f>
        <v/>
      </c>
      <c r="BM171" s="179" t="str">
        <f>IF(Table2[[#This Row],[Counter Number]]="","",Table2[[#This Row],[Annual Miles Traveled:]]*VLOOKUP(Table2[[#This Row],[Engine Model Year:]],EF!$A$2:$G$40,5,FALSE))</f>
        <v/>
      </c>
      <c r="BN171" s="173" t="str">
        <f>IF(Table2[[#This Row],[Counter Number]]="","",Table2[[#This Row],[Annual Miles Traveled:]]*IF(Table2[[#This Row],[New Engine Fuel Type:]]="ULSD",VLOOKUP(Table2[[#This Row],[New Engine Model Year:]],EFTable[],5,FALSE),VLOOKUP(Table2[[#This Row],[New Engine Fuel Type:]],EFTable[],5,FALSE)))</f>
        <v/>
      </c>
      <c r="BO171" s="190" t="str">
        <f>IF(Table2[[#This Row],[Counter Number]]="","",Table2[[#This Row],[Old Bus HC Emissions (tons/yr)]]-Table2[[#This Row],[New Bus HC Emissions (tons/yr)]])</f>
        <v/>
      </c>
      <c r="BP171" s="188" t="str">
        <f>IF(Table2[[#This Row],[Counter Number]]="","",Table2[[#This Row],[Reduction Bus HC Emissions (tons/yr)]]/Table2[[#This Row],[Old Bus HC Emissions (tons/yr)]])</f>
        <v/>
      </c>
      <c r="BQ171" s="193" t="str">
        <f>IF(Table2[[#This Row],[Counter Number]]="","",Table2[[#This Row],[Reduction Bus HC Emissions (tons/yr)]]*Table2[[#This Row],[Remaining Life:]])</f>
        <v/>
      </c>
      <c r="BR171" s="194" t="str">
        <f>IF(Table2[[#This Row],[Counter Number]]="","",IF(Table2[[#This Row],[Lifetime HC Reduction (tons)]]=0,"NA",Table2[[#This Row],[Upgrade Cost Per Unit]]/Table2[[#This Row],[Lifetime HC Reduction (tons)]]))</f>
        <v/>
      </c>
      <c r="BS171" s="191" t="str">
        <f>IF(Table2[[#This Row],[Counter Number]]="","",Table2[[#This Row],[Annual Miles Traveled:]]*VLOOKUP(Table2[[#This Row],[Engine Model Year:]],EF!$A$2:$G$27,6,FALSE))</f>
        <v/>
      </c>
      <c r="BT171" s="173" t="str">
        <f>IF(Table2[[#This Row],[Counter Number]]="","",Table2[[#This Row],[Annual Miles Traveled:]]*IF(Table2[[#This Row],[New Engine Fuel Type:]]="ULSD",VLOOKUP(Table2[[#This Row],[New Engine Model Year:]],EFTable[],6,FALSE),VLOOKUP(Table2[[#This Row],[New Engine Fuel Type:]],EFTable[],6,FALSE)))</f>
        <v/>
      </c>
      <c r="BU171" s="190" t="str">
        <f>IF(Table2[[#This Row],[Counter Number]]="","",Table2[[#This Row],[Old Bus CO Emissions (tons/yr)]]-Table2[[#This Row],[New Bus CO Emissions (tons/yr)]])</f>
        <v/>
      </c>
      <c r="BV171" s="188" t="str">
        <f>IF(Table2[[#This Row],[Counter Number]]="","",Table2[[#This Row],[Reduction Bus CO Emissions (tons/yr)]]/Table2[[#This Row],[Old Bus CO Emissions (tons/yr)]])</f>
        <v/>
      </c>
      <c r="BW171" s="193" t="str">
        <f>IF(Table2[[#This Row],[Counter Number]]="","",Table2[[#This Row],[Reduction Bus CO Emissions (tons/yr)]]*Table2[[#This Row],[Remaining Life:]])</f>
        <v/>
      </c>
      <c r="BX171" s="194" t="str">
        <f>IF(Table2[[#This Row],[Counter Number]]="","",IF(Table2[[#This Row],[Lifetime CO Reduction (tons)]]=0,"NA",Table2[[#This Row],[Upgrade Cost Per Unit]]/Table2[[#This Row],[Lifetime CO Reduction (tons)]]))</f>
        <v/>
      </c>
      <c r="BY171" s="180" t="str">
        <f>IF(Table2[[#This Row],[Counter Number]]="","",Table2[[#This Row],[Old ULSD Used (gal):]]*VLOOKUP(Table2[[#This Row],[Engine Model Year:]],EF!$A$2:$G$27,7,FALSE))</f>
        <v/>
      </c>
      <c r="BZ17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1" s="195" t="str">
        <f>IF(Table2[[#This Row],[Counter Number]]="","",Table2[[#This Row],[Old Bus CO2 Emissions (tons/yr)]]-Table2[[#This Row],[New Bus CO2 Emissions (tons/yr)]])</f>
        <v/>
      </c>
      <c r="CB171" s="188" t="str">
        <f>IF(Table2[[#This Row],[Counter Number]]="","",Table2[[#This Row],[Reduction Bus CO2 Emissions (tons/yr)]]/Table2[[#This Row],[Old Bus CO2 Emissions (tons/yr)]])</f>
        <v/>
      </c>
      <c r="CC171" s="195" t="str">
        <f>IF(Table2[[#This Row],[Counter Number]]="","",Table2[[#This Row],[Reduction Bus CO2 Emissions (tons/yr)]]*Table2[[#This Row],[Remaining Life:]])</f>
        <v/>
      </c>
      <c r="CD171" s="194" t="str">
        <f>IF(Table2[[#This Row],[Counter Number]]="","",IF(Table2[[#This Row],[Lifetime CO2 Reduction (tons)]]=0,"NA",Table2[[#This Row],[Upgrade Cost Per Unit]]/Table2[[#This Row],[Lifetime CO2 Reduction (tons)]]))</f>
        <v/>
      </c>
      <c r="CE171" s="182" t="str">
        <f>IF(Table2[[#This Row],[Counter Number]]="","",IF(Table2[[#This Row],[New ULSD Used (gal):]]="",Table2[[#This Row],[Old ULSD Used (gal):]],Table2[[#This Row],[Old ULSD Used (gal):]]-Table2[[#This Row],[New ULSD Used (gal):]]))</f>
        <v/>
      </c>
      <c r="CF171" s="196" t="str">
        <f>IF(Table2[[#This Row],[Counter Number]]="","",Table2[[#This Row],[Diesel Fuel Reduction (gal/yr)]]/Table2[[#This Row],[Old ULSD Used (gal):]])</f>
        <v/>
      </c>
      <c r="CG171" s="197" t="str">
        <f>IF(Table2[[#This Row],[Counter Number]]="","",Table2[[#This Row],[Diesel Fuel Reduction (gal/yr)]]*Table2[[#This Row],[Remaining Life:]])</f>
        <v/>
      </c>
    </row>
    <row r="172" spans="1:85">
      <c r="A172" s="184" t="str">
        <f>IF(A161&lt;Application!$D$24,A161+1,"")</f>
        <v/>
      </c>
      <c r="B172" s="60" t="str">
        <f>IF(Table2[[#This Row],[Counter Number]]="","",Application!$D$16)</f>
        <v/>
      </c>
      <c r="C172" s="60" t="str">
        <f>IF(Table2[[#This Row],[Counter Number]]="","",Application!$D$14)</f>
        <v/>
      </c>
      <c r="D172" s="60" t="str">
        <f>IF(Table2[[#This Row],[Counter Number]]="","",Table1[[#This Row],[Old Bus Number]])</f>
        <v/>
      </c>
      <c r="E172" s="60" t="str">
        <f>IF(Table2[[#This Row],[Counter Number]]="","",Application!$D$15)</f>
        <v/>
      </c>
      <c r="F172" s="60" t="str">
        <f>IF(Table2[[#This Row],[Counter Number]]="","","On Highway")</f>
        <v/>
      </c>
      <c r="G172" s="60" t="str">
        <f>IF(Table2[[#This Row],[Counter Number]]="","",I172)</f>
        <v/>
      </c>
      <c r="H172" s="60" t="str">
        <f>IF(Table2[[#This Row],[Counter Number]]="","","Georgia")</f>
        <v/>
      </c>
      <c r="I172" s="60" t="str">
        <f>IF(Table2[[#This Row],[Counter Number]]="","",Application!$D$16)</f>
        <v/>
      </c>
      <c r="J172" s="60" t="str">
        <f>IF(Table2[[#This Row],[Counter Number]]="","",Application!$D$21)</f>
        <v/>
      </c>
      <c r="K172" s="60" t="str">
        <f>IF(Table2[[#This Row],[Counter Number]]="","",Application!$J$21)</f>
        <v/>
      </c>
      <c r="L172" s="60" t="str">
        <f>IF(Table2[[#This Row],[Counter Number]]="","","School Bus")</f>
        <v/>
      </c>
      <c r="M172" s="60" t="str">
        <f>IF(Table2[[#This Row],[Counter Number]]="","","School Bus")</f>
        <v/>
      </c>
      <c r="N172" s="60" t="str">
        <f>IF(Table2[[#This Row],[Counter Number]]="","",1)</f>
        <v/>
      </c>
      <c r="O172" s="60" t="str">
        <f>IF(Table2[[#This Row],[Counter Number]]="","",Table1[[#This Row],[Vehicle Identification Number(s):]])</f>
        <v/>
      </c>
      <c r="P172" s="60" t="str">
        <f>IF(Table2[[#This Row],[Counter Number]]="","",Table1[[#This Row],[Old Bus Manufacturer:]])</f>
        <v/>
      </c>
      <c r="Q172" s="60" t="str">
        <f>IF(Table2[[#This Row],[Counter Number]]="","",Table1[[#This Row],[Vehicle Model:]])</f>
        <v/>
      </c>
      <c r="R172" s="165" t="str">
        <f>IF(Table2[[#This Row],[Counter Number]]="","",Table1[[#This Row],[Vehicle Model Year:]])</f>
        <v/>
      </c>
      <c r="S172" s="60" t="str">
        <f>IF(Table2[[#This Row],[Counter Number]]="","",Table1[[#This Row],[Engine Serial Number(s):]])</f>
        <v/>
      </c>
      <c r="T172" s="60" t="str">
        <f>IF(Table2[[#This Row],[Counter Number]]="","",Table1[[#This Row],[Engine Make:]])</f>
        <v/>
      </c>
      <c r="U172" s="60" t="str">
        <f>IF(Table2[[#This Row],[Counter Number]]="","",Table1[[#This Row],[Engine Model:]])</f>
        <v/>
      </c>
      <c r="V172" s="165" t="str">
        <f>IF(Table2[[#This Row],[Counter Number]]="","",Table1[[#This Row],[Engine Model Year:]])</f>
        <v/>
      </c>
      <c r="W172" s="60" t="str">
        <f>IF(Table2[[#This Row],[Counter Number]]="","","NA")</f>
        <v/>
      </c>
      <c r="X172" s="165" t="str">
        <f>IF(Table2[[#This Row],[Counter Number]]="","",Table1[[#This Row],[Engine Horsepower (HP):]])</f>
        <v/>
      </c>
      <c r="Y172" s="165" t="str">
        <f>IF(Table2[[#This Row],[Counter Number]]="","",Table1[[#This Row],[Engine Cylinder Displacement (L):]]&amp;" L")</f>
        <v/>
      </c>
      <c r="Z172" s="165" t="str">
        <f>IF(Table2[[#This Row],[Counter Number]]="","",Table1[[#This Row],[Engine Number of Cylinders:]])</f>
        <v/>
      </c>
      <c r="AA172" s="166" t="str">
        <f>IF(Table2[[#This Row],[Counter Number]]="","",Table1[[#This Row],[Engine Family Name:]])</f>
        <v/>
      </c>
      <c r="AB172" s="60" t="str">
        <f>IF(Table2[[#This Row],[Counter Number]]="","","ULSD")</f>
        <v/>
      </c>
      <c r="AC172" s="167" t="str">
        <f>IF(Table2[[#This Row],[Counter Number]]="","",Table2[[#This Row],[Annual Miles Traveled:]]/Table1[[#This Row],[Old Fuel (mpg)]])</f>
        <v/>
      </c>
      <c r="AD172" s="60" t="str">
        <f>IF(Table2[[#This Row],[Counter Number]]="","","NA")</f>
        <v/>
      </c>
      <c r="AE172" s="168" t="str">
        <f>IF(Table2[[#This Row],[Counter Number]]="","",Table1[[#This Row],[Annual Miles Traveled]])</f>
        <v/>
      </c>
      <c r="AF172" s="169" t="str">
        <f>IF(Table2[[#This Row],[Counter Number]]="","",Table1[[#This Row],[Annual Idling Hours:]])</f>
        <v/>
      </c>
      <c r="AG172" s="60" t="str">
        <f>IF(Table2[[#This Row],[Counter Number]]="","","NA")</f>
        <v/>
      </c>
      <c r="AH172" s="165" t="str">
        <f>IF(Table2[[#This Row],[Counter Number]]="","",IF(Application!$J$25="Set Policy",Table1[[#This Row],[Remaining Life (years)         Set Policy]],Table1[[#This Row],[Remaining Life (years)               Case-by-Case]]))</f>
        <v/>
      </c>
      <c r="AI172" s="165" t="str">
        <f>IF(Table2[[#This Row],[Counter Number]]="","",IF(Application!$J$25="Case-by-Case","NA",Table2[[#This Row],[Fiscal Year of EPA Funds Used:]]+Table2[[#This Row],[Remaining Life:]]))</f>
        <v/>
      </c>
      <c r="AJ172" s="165"/>
      <c r="AK172" s="170" t="str">
        <f>IF(Table2[[#This Row],[Counter Number]]="","",Application!$D$14+1)</f>
        <v/>
      </c>
      <c r="AL172" s="60" t="str">
        <f>IF(Table2[[#This Row],[Counter Number]]="","","Vehicle Replacement")</f>
        <v/>
      </c>
      <c r="AM17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2" s="171" t="str">
        <f>IF(Table2[[#This Row],[Counter Number]]="","",Table1[[#This Row],[Cost of New Bus:]])</f>
        <v/>
      </c>
      <c r="AO172" s="60" t="str">
        <f>IF(Table2[[#This Row],[Counter Number]]="","","NA")</f>
        <v/>
      </c>
      <c r="AP172" s="165" t="str">
        <f>IF(Table2[[#This Row],[Counter Number]]="","",Table1[[#This Row],[New Engine Model Year:]])</f>
        <v/>
      </c>
      <c r="AQ172" s="60" t="str">
        <f>IF(Table2[[#This Row],[Counter Number]]="","","NA")</f>
        <v/>
      </c>
      <c r="AR172" s="165" t="str">
        <f>IF(Table2[[#This Row],[Counter Number]]="","",Table1[[#This Row],[New Engine Horsepower (HP):]])</f>
        <v/>
      </c>
      <c r="AS172" s="60" t="str">
        <f>IF(Table2[[#This Row],[Counter Number]]="","","NA")</f>
        <v/>
      </c>
      <c r="AT172" s="165" t="str">
        <f>IF(Table2[[#This Row],[Counter Number]]="","",Table1[[#This Row],[New Engine Cylinder Displacement (L):]]&amp;" L")</f>
        <v/>
      </c>
      <c r="AU172" s="114" t="str">
        <f>IF(Table2[[#This Row],[Counter Number]]="","",Table1[[#This Row],[New Engine Number of Cylinders:]])</f>
        <v/>
      </c>
      <c r="AV172" s="60" t="str">
        <f>IF(Table2[[#This Row],[Counter Number]]="","",Table1[[#This Row],[New Engine Family Name:]])</f>
        <v/>
      </c>
      <c r="AW17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2" s="60" t="str">
        <f>IF(Table2[[#This Row],[Counter Number]]="","","NA")</f>
        <v/>
      </c>
      <c r="AY172" s="172" t="str">
        <f>IF(Table2[[#This Row],[Counter Number]]="","",IF(Table2[[#This Row],[New Engine Fuel Type:]]="ULSD",Table1[[#This Row],[Annual Miles Traveled]]/Table1[[#This Row],[New Fuel (mpg) if Diesel]],""))</f>
        <v/>
      </c>
      <c r="AZ172" s="60"/>
      <c r="BA172" s="173" t="str">
        <f>IF(Table2[[#This Row],[Counter Number]]="","",Table2[[#This Row],[Annual Miles Traveled:]]*VLOOKUP(Table2[[#This Row],[Engine Model Year:]],EFTable[],3,FALSE))</f>
        <v/>
      </c>
      <c r="BB172" s="173" t="str">
        <f>IF(Table2[[#This Row],[Counter Number]]="","",Table2[[#This Row],[Annual Miles Traveled:]]*IF(Table2[[#This Row],[New Engine Fuel Type:]]="ULSD",VLOOKUP(Table2[[#This Row],[New Engine Model Year:]],EFTable[],3,FALSE),VLOOKUP(Table2[[#This Row],[New Engine Fuel Type:]],EFTable[],3,FALSE)))</f>
        <v/>
      </c>
      <c r="BC172" s="187" t="str">
        <f>IF(Table2[[#This Row],[Counter Number]]="","",Table2[[#This Row],[Old Bus NOx Emissions (tons/yr)]]-Table2[[#This Row],[New Bus NOx Emissions (tons/yr)]])</f>
        <v/>
      </c>
      <c r="BD172" s="188" t="str">
        <f>IF(Table2[[#This Row],[Counter Number]]="","",Table2[[#This Row],[Reduction Bus NOx Emissions (tons/yr)]]/Table2[[#This Row],[Old Bus NOx Emissions (tons/yr)]])</f>
        <v/>
      </c>
      <c r="BE172" s="175" t="str">
        <f>IF(Table2[[#This Row],[Counter Number]]="","",Table2[[#This Row],[Reduction Bus NOx Emissions (tons/yr)]]*Table2[[#This Row],[Remaining Life:]])</f>
        <v/>
      </c>
      <c r="BF172" s="189" t="str">
        <f>IF(Table2[[#This Row],[Counter Number]]="","",IF(Table2[[#This Row],[Lifetime NOx Reduction (tons)]]=0,"NA",Table2[[#This Row],[Upgrade Cost Per Unit]]/Table2[[#This Row],[Lifetime NOx Reduction (tons)]]))</f>
        <v/>
      </c>
      <c r="BG172" s="190" t="str">
        <f>IF(Table2[[#This Row],[Counter Number]]="","",Table2[[#This Row],[Annual Miles Traveled:]]*VLOOKUP(Table2[[#This Row],[Engine Model Year:]],EF!$A$2:$G$27,4,FALSE))</f>
        <v/>
      </c>
      <c r="BH172" s="173" t="str">
        <f>IF(Table2[[#This Row],[Counter Number]]="","",Table2[[#This Row],[Annual Miles Traveled:]]*IF(Table2[[#This Row],[New Engine Fuel Type:]]="ULSD",VLOOKUP(Table2[[#This Row],[New Engine Model Year:]],EFTable[],4,FALSE),VLOOKUP(Table2[[#This Row],[New Engine Fuel Type:]],EFTable[],4,FALSE)))</f>
        <v/>
      </c>
      <c r="BI172" s="191" t="str">
        <f>IF(Table2[[#This Row],[Counter Number]]="","",Table2[[#This Row],[Old Bus PM2.5 Emissions (tons/yr)]]-Table2[[#This Row],[New Bus PM2.5 Emissions (tons/yr)]])</f>
        <v/>
      </c>
      <c r="BJ172" s="192" t="str">
        <f>IF(Table2[[#This Row],[Counter Number]]="","",Table2[[#This Row],[Reduction Bus PM2.5 Emissions (tons/yr)]]/Table2[[#This Row],[Old Bus PM2.5 Emissions (tons/yr)]])</f>
        <v/>
      </c>
      <c r="BK172" s="193" t="str">
        <f>IF(Table2[[#This Row],[Counter Number]]="","",Table2[[#This Row],[Reduction Bus PM2.5 Emissions (tons/yr)]]*Table2[[#This Row],[Remaining Life:]])</f>
        <v/>
      </c>
      <c r="BL172" s="194" t="str">
        <f>IF(Table2[[#This Row],[Counter Number]]="","",IF(Table2[[#This Row],[Lifetime PM2.5 Reduction (tons)]]=0,"NA",Table2[[#This Row],[Upgrade Cost Per Unit]]/Table2[[#This Row],[Lifetime PM2.5 Reduction (tons)]]))</f>
        <v/>
      </c>
      <c r="BM172" s="179" t="str">
        <f>IF(Table2[[#This Row],[Counter Number]]="","",Table2[[#This Row],[Annual Miles Traveled:]]*VLOOKUP(Table2[[#This Row],[Engine Model Year:]],EF!$A$2:$G$40,5,FALSE))</f>
        <v/>
      </c>
      <c r="BN172" s="173" t="str">
        <f>IF(Table2[[#This Row],[Counter Number]]="","",Table2[[#This Row],[Annual Miles Traveled:]]*IF(Table2[[#This Row],[New Engine Fuel Type:]]="ULSD",VLOOKUP(Table2[[#This Row],[New Engine Model Year:]],EFTable[],5,FALSE),VLOOKUP(Table2[[#This Row],[New Engine Fuel Type:]],EFTable[],5,FALSE)))</f>
        <v/>
      </c>
      <c r="BO172" s="190" t="str">
        <f>IF(Table2[[#This Row],[Counter Number]]="","",Table2[[#This Row],[Old Bus HC Emissions (tons/yr)]]-Table2[[#This Row],[New Bus HC Emissions (tons/yr)]])</f>
        <v/>
      </c>
      <c r="BP172" s="188" t="str">
        <f>IF(Table2[[#This Row],[Counter Number]]="","",Table2[[#This Row],[Reduction Bus HC Emissions (tons/yr)]]/Table2[[#This Row],[Old Bus HC Emissions (tons/yr)]])</f>
        <v/>
      </c>
      <c r="BQ172" s="193" t="str">
        <f>IF(Table2[[#This Row],[Counter Number]]="","",Table2[[#This Row],[Reduction Bus HC Emissions (tons/yr)]]*Table2[[#This Row],[Remaining Life:]])</f>
        <v/>
      </c>
      <c r="BR172" s="194" t="str">
        <f>IF(Table2[[#This Row],[Counter Number]]="","",IF(Table2[[#This Row],[Lifetime HC Reduction (tons)]]=0,"NA",Table2[[#This Row],[Upgrade Cost Per Unit]]/Table2[[#This Row],[Lifetime HC Reduction (tons)]]))</f>
        <v/>
      </c>
      <c r="BS172" s="191" t="str">
        <f>IF(Table2[[#This Row],[Counter Number]]="","",Table2[[#This Row],[Annual Miles Traveled:]]*VLOOKUP(Table2[[#This Row],[Engine Model Year:]],EF!$A$2:$G$27,6,FALSE))</f>
        <v/>
      </c>
      <c r="BT172" s="173" t="str">
        <f>IF(Table2[[#This Row],[Counter Number]]="","",Table2[[#This Row],[Annual Miles Traveled:]]*IF(Table2[[#This Row],[New Engine Fuel Type:]]="ULSD",VLOOKUP(Table2[[#This Row],[New Engine Model Year:]],EFTable[],6,FALSE),VLOOKUP(Table2[[#This Row],[New Engine Fuel Type:]],EFTable[],6,FALSE)))</f>
        <v/>
      </c>
      <c r="BU172" s="190" t="str">
        <f>IF(Table2[[#This Row],[Counter Number]]="","",Table2[[#This Row],[Old Bus CO Emissions (tons/yr)]]-Table2[[#This Row],[New Bus CO Emissions (tons/yr)]])</f>
        <v/>
      </c>
      <c r="BV172" s="188" t="str">
        <f>IF(Table2[[#This Row],[Counter Number]]="","",Table2[[#This Row],[Reduction Bus CO Emissions (tons/yr)]]/Table2[[#This Row],[Old Bus CO Emissions (tons/yr)]])</f>
        <v/>
      </c>
      <c r="BW172" s="193" t="str">
        <f>IF(Table2[[#This Row],[Counter Number]]="","",Table2[[#This Row],[Reduction Bus CO Emissions (tons/yr)]]*Table2[[#This Row],[Remaining Life:]])</f>
        <v/>
      </c>
      <c r="BX172" s="194" t="str">
        <f>IF(Table2[[#This Row],[Counter Number]]="","",IF(Table2[[#This Row],[Lifetime CO Reduction (tons)]]=0,"NA",Table2[[#This Row],[Upgrade Cost Per Unit]]/Table2[[#This Row],[Lifetime CO Reduction (tons)]]))</f>
        <v/>
      </c>
      <c r="BY172" s="180" t="str">
        <f>IF(Table2[[#This Row],[Counter Number]]="","",Table2[[#This Row],[Old ULSD Used (gal):]]*VLOOKUP(Table2[[#This Row],[Engine Model Year:]],EF!$A$2:$G$27,7,FALSE))</f>
        <v/>
      </c>
      <c r="BZ17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2" s="195" t="str">
        <f>IF(Table2[[#This Row],[Counter Number]]="","",Table2[[#This Row],[Old Bus CO2 Emissions (tons/yr)]]-Table2[[#This Row],[New Bus CO2 Emissions (tons/yr)]])</f>
        <v/>
      </c>
      <c r="CB172" s="188" t="str">
        <f>IF(Table2[[#This Row],[Counter Number]]="","",Table2[[#This Row],[Reduction Bus CO2 Emissions (tons/yr)]]/Table2[[#This Row],[Old Bus CO2 Emissions (tons/yr)]])</f>
        <v/>
      </c>
      <c r="CC172" s="195" t="str">
        <f>IF(Table2[[#This Row],[Counter Number]]="","",Table2[[#This Row],[Reduction Bus CO2 Emissions (tons/yr)]]*Table2[[#This Row],[Remaining Life:]])</f>
        <v/>
      </c>
      <c r="CD172" s="194" t="str">
        <f>IF(Table2[[#This Row],[Counter Number]]="","",IF(Table2[[#This Row],[Lifetime CO2 Reduction (tons)]]=0,"NA",Table2[[#This Row],[Upgrade Cost Per Unit]]/Table2[[#This Row],[Lifetime CO2 Reduction (tons)]]))</f>
        <v/>
      </c>
      <c r="CE172" s="182" t="str">
        <f>IF(Table2[[#This Row],[Counter Number]]="","",IF(Table2[[#This Row],[New ULSD Used (gal):]]="",Table2[[#This Row],[Old ULSD Used (gal):]],Table2[[#This Row],[Old ULSD Used (gal):]]-Table2[[#This Row],[New ULSD Used (gal):]]))</f>
        <v/>
      </c>
      <c r="CF172" s="196" t="str">
        <f>IF(Table2[[#This Row],[Counter Number]]="","",Table2[[#This Row],[Diesel Fuel Reduction (gal/yr)]]/Table2[[#This Row],[Old ULSD Used (gal):]])</f>
        <v/>
      </c>
      <c r="CG172" s="197" t="str">
        <f>IF(Table2[[#This Row],[Counter Number]]="","",Table2[[#This Row],[Diesel Fuel Reduction (gal/yr)]]*Table2[[#This Row],[Remaining Life:]])</f>
        <v/>
      </c>
    </row>
    <row r="173" spans="1:85">
      <c r="A173" s="184" t="str">
        <f>IF(A162&lt;Application!$D$24,A162+1,"")</f>
        <v/>
      </c>
      <c r="B173" s="60" t="str">
        <f>IF(Table2[[#This Row],[Counter Number]]="","",Application!$D$16)</f>
        <v/>
      </c>
      <c r="C173" s="60" t="str">
        <f>IF(Table2[[#This Row],[Counter Number]]="","",Application!$D$14)</f>
        <v/>
      </c>
      <c r="D173" s="60" t="str">
        <f>IF(Table2[[#This Row],[Counter Number]]="","",Table1[[#This Row],[Old Bus Number]])</f>
        <v/>
      </c>
      <c r="E173" s="60" t="str">
        <f>IF(Table2[[#This Row],[Counter Number]]="","",Application!$D$15)</f>
        <v/>
      </c>
      <c r="F173" s="60" t="str">
        <f>IF(Table2[[#This Row],[Counter Number]]="","","On Highway")</f>
        <v/>
      </c>
      <c r="G173" s="60" t="str">
        <f>IF(Table2[[#This Row],[Counter Number]]="","",I173)</f>
        <v/>
      </c>
      <c r="H173" s="60" t="str">
        <f>IF(Table2[[#This Row],[Counter Number]]="","","Georgia")</f>
        <v/>
      </c>
      <c r="I173" s="60" t="str">
        <f>IF(Table2[[#This Row],[Counter Number]]="","",Application!$D$16)</f>
        <v/>
      </c>
      <c r="J173" s="60" t="str">
        <f>IF(Table2[[#This Row],[Counter Number]]="","",Application!$D$21)</f>
        <v/>
      </c>
      <c r="K173" s="60" t="str">
        <f>IF(Table2[[#This Row],[Counter Number]]="","",Application!$J$21)</f>
        <v/>
      </c>
      <c r="L173" s="60" t="str">
        <f>IF(Table2[[#This Row],[Counter Number]]="","","School Bus")</f>
        <v/>
      </c>
      <c r="M173" s="60" t="str">
        <f>IF(Table2[[#This Row],[Counter Number]]="","","School Bus")</f>
        <v/>
      </c>
      <c r="N173" s="60" t="str">
        <f>IF(Table2[[#This Row],[Counter Number]]="","",1)</f>
        <v/>
      </c>
      <c r="O173" s="60" t="str">
        <f>IF(Table2[[#This Row],[Counter Number]]="","",Table1[[#This Row],[Vehicle Identification Number(s):]])</f>
        <v/>
      </c>
      <c r="P173" s="60" t="str">
        <f>IF(Table2[[#This Row],[Counter Number]]="","",Table1[[#This Row],[Old Bus Manufacturer:]])</f>
        <v/>
      </c>
      <c r="Q173" s="60" t="str">
        <f>IF(Table2[[#This Row],[Counter Number]]="","",Table1[[#This Row],[Vehicle Model:]])</f>
        <v/>
      </c>
      <c r="R173" s="165" t="str">
        <f>IF(Table2[[#This Row],[Counter Number]]="","",Table1[[#This Row],[Vehicle Model Year:]])</f>
        <v/>
      </c>
      <c r="S173" s="60" t="str">
        <f>IF(Table2[[#This Row],[Counter Number]]="","",Table1[[#This Row],[Engine Serial Number(s):]])</f>
        <v/>
      </c>
      <c r="T173" s="60" t="str">
        <f>IF(Table2[[#This Row],[Counter Number]]="","",Table1[[#This Row],[Engine Make:]])</f>
        <v/>
      </c>
      <c r="U173" s="60" t="str">
        <f>IF(Table2[[#This Row],[Counter Number]]="","",Table1[[#This Row],[Engine Model:]])</f>
        <v/>
      </c>
      <c r="V173" s="165" t="str">
        <f>IF(Table2[[#This Row],[Counter Number]]="","",Table1[[#This Row],[Engine Model Year:]])</f>
        <v/>
      </c>
      <c r="W173" s="60" t="str">
        <f>IF(Table2[[#This Row],[Counter Number]]="","","NA")</f>
        <v/>
      </c>
      <c r="X173" s="165" t="str">
        <f>IF(Table2[[#This Row],[Counter Number]]="","",Table1[[#This Row],[Engine Horsepower (HP):]])</f>
        <v/>
      </c>
      <c r="Y173" s="165" t="str">
        <f>IF(Table2[[#This Row],[Counter Number]]="","",Table1[[#This Row],[Engine Cylinder Displacement (L):]]&amp;" L")</f>
        <v/>
      </c>
      <c r="Z173" s="165" t="str">
        <f>IF(Table2[[#This Row],[Counter Number]]="","",Table1[[#This Row],[Engine Number of Cylinders:]])</f>
        <v/>
      </c>
      <c r="AA173" s="166" t="str">
        <f>IF(Table2[[#This Row],[Counter Number]]="","",Table1[[#This Row],[Engine Family Name:]])</f>
        <v/>
      </c>
      <c r="AB173" s="60" t="str">
        <f>IF(Table2[[#This Row],[Counter Number]]="","","ULSD")</f>
        <v/>
      </c>
      <c r="AC173" s="167" t="str">
        <f>IF(Table2[[#This Row],[Counter Number]]="","",Table2[[#This Row],[Annual Miles Traveled:]]/Table1[[#This Row],[Old Fuel (mpg)]])</f>
        <v/>
      </c>
      <c r="AD173" s="60" t="str">
        <f>IF(Table2[[#This Row],[Counter Number]]="","","NA")</f>
        <v/>
      </c>
      <c r="AE173" s="168" t="str">
        <f>IF(Table2[[#This Row],[Counter Number]]="","",Table1[[#This Row],[Annual Miles Traveled]])</f>
        <v/>
      </c>
      <c r="AF173" s="169" t="str">
        <f>IF(Table2[[#This Row],[Counter Number]]="","",Table1[[#This Row],[Annual Idling Hours:]])</f>
        <v/>
      </c>
      <c r="AG173" s="60" t="str">
        <f>IF(Table2[[#This Row],[Counter Number]]="","","NA")</f>
        <v/>
      </c>
      <c r="AH173" s="165" t="str">
        <f>IF(Table2[[#This Row],[Counter Number]]="","",IF(Application!$J$25="Set Policy",Table1[[#This Row],[Remaining Life (years)         Set Policy]],Table1[[#This Row],[Remaining Life (years)               Case-by-Case]]))</f>
        <v/>
      </c>
      <c r="AI173" s="165" t="str">
        <f>IF(Table2[[#This Row],[Counter Number]]="","",IF(Application!$J$25="Case-by-Case","NA",Table2[[#This Row],[Fiscal Year of EPA Funds Used:]]+Table2[[#This Row],[Remaining Life:]]))</f>
        <v/>
      </c>
      <c r="AJ173" s="165"/>
      <c r="AK173" s="170" t="str">
        <f>IF(Table2[[#This Row],[Counter Number]]="","",Application!$D$14+1)</f>
        <v/>
      </c>
      <c r="AL173" s="60" t="str">
        <f>IF(Table2[[#This Row],[Counter Number]]="","","Vehicle Replacement")</f>
        <v/>
      </c>
      <c r="AM17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3" s="171" t="str">
        <f>IF(Table2[[#This Row],[Counter Number]]="","",Table1[[#This Row],[Cost of New Bus:]])</f>
        <v/>
      </c>
      <c r="AO173" s="60" t="str">
        <f>IF(Table2[[#This Row],[Counter Number]]="","","NA")</f>
        <v/>
      </c>
      <c r="AP173" s="165" t="str">
        <f>IF(Table2[[#This Row],[Counter Number]]="","",Table1[[#This Row],[New Engine Model Year:]])</f>
        <v/>
      </c>
      <c r="AQ173" s="60" t="str">
        <f>IF(Table2[[#This Row],[Counter Number]]="","","NA")</f>
        <v/>
      </c>
      <c r="AR173" s="165" t="str">
        <f>IF(Table2[[#This Row],[Counter Number]]="","",Table1[[#This Row],[New Engine Horsepower (HP):]])</f>
        <v/>
      </c>
      <c r="AS173" s="60" t="str">
        <f>IF(Table2[[#This Row],[Counter Number]]="","","NA")</f>
        <v/>
      </c>
      <c r="AT173" s="165" t="str">
        <f>IF(Table2[[#This Row],[Counter Number]]="","",Table1[[#This Row],[New Engine Cylinder Displacement (L):]]&amp;" L")</f>
        <v/>
      </c>
      <c r="AU173" s="114" t="str">
        <f>IF(Table2[[#This Row],[Counter Number]]="","",Table1[[#This Row],[New Engine Number of Cylinders:]])</f>
        <v/>
      </c>
      <c r="AV173" s="60" t="str">
        <f>IF(Table2[[#This Row],[Counter Number]]="","",Table1[[#This Row],[New Engine Family Name:]])</f>
        <v/>
      </c>
      <c r="AW17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3" s="60" t="str">
        <f>IF(Table2[[#This Row],[Counter Number]]="","","NA")</f>
        <v/>
      </c>
      <c r="AY173" s="172" t="str">
        <f>IF(Table2[[#This Row],[Counter Number]]="","",IF(Table2[[#This Row],[New Engine Fuel Type:]]="ULSD",Table1[[#This Row],[Annual Miles Traveled]]/Table1[[#This Row],[New Fuel (mpg) if Diesel]],""))</f>
        <v/>
      </c>
      <c r="AZ173" s="60"/>
      <c r="BA173" s="173" t="str">
        <f>IF(Table2[[#This Row],[Counter Number]]="","",Table2[[#This Row],[Annual Miles Traveled:]]*VLOOKUP(Table2[[#This Row],[Engine Model Year:]],EFTable[],3,FALSE))</f>
        <v/>
      </c>
      <c r="BB173" s="173" t="str">
        <f>IF(Table2[[#This Row],[Counter Number]]="","",Table2[[#This Row],[Annual Miles Traveled:]]*IF(Table2[[#This Row],[New Engine Fuel Type:]]="ULSD",VLOOKUP(Table2[[#This Row],[New Engine Model Year:]],EFTable[],3,FALSE),VLOOKUP(Table2[[#This Row],[New Engine Fuel Type:]],EFTable[],3,FALSE)))</f>
        <v/>
      </c>
      <c r="BC173" s="187" t="str">
        <f>IF(Table2[[#This Row],[Counter Number]]="","",Table2[[#This Row],[Old Bus NOx Emissions (tons/yr)]]-Table2[[#This Row],[New Bus NOx Emissions (tons/yr)]])</f>
        <v/>
      </c>
      <c r="BD173" s="188" t="str">
        <f>IF(Table2[[#This Row],[Counter Number]]="","",Table2[[#This Row],[Reduction Bus NOx Emissions (tons/yr)]]/Table2[[#This Row],[Old Bus NOx Emissions (tons/yr)]])</f>
        <v/>
      </c>
      <c r="BE173" s="175" t="str">
        <f>IF(Table2[[#This Row],[Counter Number]]="","",Table2[[#This Row],[Reduction Bus NOx Emissions (tons/yr)]]*Table2[[#This Row],[Remaining Life:]])</f>
        <v/>
      </c>
      <c r="BF173" s="189" t="str">
        <f>IF(Table2[[#This Row],[Counter Number]]="","",IF(Table2[[#This Row],[Lifetime NOx Reduction (tons)]]=0,"NA",Table2[[#This Row],[Upgrade Cost Per Unit]]/Table2[[#This Row],[Lifetime NOx Reduction (tons)]]))</f>
        <v/>
      </c>
      <c r="BG173" s="190" t="str">
        <f>IF(Table2[[#This Row],[Counter Number]]="","",Table2[[#This Row],[Annual Miles Traveled:]]*VLOOKUP(Table2[[#This Row],[Engine Model Year:]],EF!$A$2:$G$27,4,FALSE))</f>
        <v/>
      </c>
      <c r="BH173" s="173" t="str">
        <f>IF(Table2[[#This Row],[Counter Number]]="","",Table2[[#This Row],[Annual Miles Traveled:]]*IF(Table2[[#This Row],[New Engine Fuel Type:]]="ULSD",VLOOKUP(Table2[[#This Row],[New Engine Model Year:]],EFTable[],4,FALSE),VLOOKUP(Table2[[#This Row],[New Engine Fuel Type:]],EFTable[],4,FALSE)))</f>
        <v/>
      </c>
      <c r="BI173" s="191" t="str">
        <f>IF(Table2[[#This Row],[Counter Number]]="","",Table2[[#This Row],[Old Bus PM2.5 Emissions (tons/yr)]]-Table2[[#This Row],[New Bus PM2.5 Emissions (tons/yr)]])</f>
        <v/>
      </c>
      <c r="BJ173" s="192" t="str">
        <f>IF(Table2[[#This Row],[Counter Number]]="","",Table2[[#This Row],[Reduction Bus PM2.5 Emissions (tons/yr)]]/Table2[[#This Row],[Old Bus PM2.5 Emissions (tons/yr)]])</f>
        <v/>
      </c>
      <c r="BK173" s="193" t="str">
        <f>IF(Table2[[#This Row],[Counter Number]]="","",Table2[[#This Row],[Reduction Bus PM2.5 Emissions (tons/yr)]]*Table2[[#This Row],[Remaining Life:]])</f>
        <v/>
      </c>
      <c r="BL173" s="194" t="str">
        <f>IF(Table2[[#This Row],[Counter Number]]="","",IF(Table2[[#This Row],[Lifetime PM2.5 Reduction (tons)]]=0,"NA",Table2[[#This Row],[Upgrade Cost Per Unit]]/Table2[[#This Row],[Lifetime PM2.5 Reduction (tons)]]))</f>
        <v/>
      </c>
      <c r="BM173" s="179" t="str">
        <f>IF(Table2[[#This Row],[Counter Number]]="","",Table2[[#This Row],[Annual Miles Traveled:]]*VLOOKUP(Table2[[#This Row],[Engine Model Year:]],EF!$A$2:$G$40,5,FALSE))</f>
        <v/>
      </c>
      <c r="BN173" s="173" t="str">
        <f>IF(Table2[[#This Row],[Counter Number]]="","",Table2[[#This Row],[Annual Miles Traveled:]]*IF(Table2[[#This Row],[New Engine Fuel Type:]]="ULSD",VLOOKUP(Table2[[#This Row],[New Engine Model Year:]],EFTable[],5,FALSE),VLOOKUP(Table2[[#This Row],[New Engine Fuel Type:]],EFTable[],5,FALSE)))</f>
        <v/>
      </c>
      <c r="BO173" s="190" t="str">
        <f>IF(Table2[[#This Row],[Counter Number]]="","",Table2[[#This Row],[Old Bus HC Emissions (tons/yr)]]-Table2[[#This Row],[New Bus HC Emissions (tons/yr)]])</f>
        <v/>
      </c>
      <c r="BP173" s="188" t="str">
        <f>IF(Table2[[#This Row],[Counter Number]]="","",Table2[[#This Row],[Reduction Bus HC Emissions (tons/yr)]]/Table2[[#This Row],[Old Bus HC Emissions (tons/yr)]])</f>
        <v/>
      </c>
      <c r="BQ173" s="193" t="str">
        <f>IF(Table2[[#This Row],[Counter Number]]="","",Table2[[#This Row],[Reduction Bus HC Emissions (tons/yr)]]*Table2[[#This Row],[Remaining Life:]])</f>
        <v/>
      </c>
      <c r="BR173" s="194" t="str">
        <f>IF(Table2[[#This Row],[Counter Number]]="","",IF(Table2[[#This Row],[Lifetime HC Reduction (tons)]]=0,"NA",Table2[[#This Row],[Upgrade Cost Per Unit]]/Table2[[#This Row],[Lifetime HC Reduction (tons)]]))</f>
        <v/>
      </c>
      <c r="BS173" s="191" t="str">
        <f>IF(Table2[[#This Row],[Counter Number]]="","",Table2[[#This Row],[Annual Miles Traveled:]]*VLOOKUP(Table2[[#This Row],[Engine Model Year:]],EF!$A$2:$G$27,6,FALSE))</f>
        <v/>
      </c>
      <c r="BT173" s="173" t="str">
        <f>IF(Table2[[#This Row],[Counter Number]]="","",Table2[[#This Row],[Annual Miles Traveled:]]*IF(Table2[[#This Row],[New Engine Fuel Type:]]="ULSD",VLOOKUP(Table2[[#This Row],[New Engine Model Year:]],EFTable[],6,FALSE),VLOOKUP(Table2[[#This Row],[New Engine Fuel Type:]],EFTable[],6,FALSE)))</f>
        <v/>
      </c>
      <c r="BU173" s="190" t="str">
        <f>IF(Table2[[#This Row],[Counter Number]]="","",Table2[[#This Row],[Old Bus CO Emissions (tons/yr)]]-Table2[[#This Row],[New Bus CO Emissions (tons/yr)]])</f>
        <v/>
      </c>
      <c r="BV173" s="188" t="str">
        <f>IF(Table2[[#This Row],[Counter Number]]="","",Table2[[#This Row],[Reduction Bus CO Emissions (tons/yr)]]/Table2[[#This Row],[Old Bus CO Emissions (tons/yr)]])</f>
        <v/>
      </c>
      <c r="BW173" s="193" t="str">
        <f>IF(Table2[[#This Row],[Counter Number]]="","",Table2[[#This Row],[Reduction Bus CO Emissions (tons/yr)]]*Table2[[#This Row],[Remaining Life:]])</f>
        <v/>
      </c>
      <c r="BX173" s="194" t="str">
        <f>IF(Table2[[#This Row],[Counter Number]]="","",IF(Table2[[#This Row],[Lifetime CO Reduction (tons)]]=0,"NA",Table2[[#This Row],[Upgrade Cost Per Unit]]/Table2[[#This Row],[Lifetime CO Reduction (tons)]]))</f>
        <v/>
      </c>
      <c r="BY173" s="180" t="str">
        <f>IF(Table2[[#This Row],[Counter Number]]="","",Table2[[#This Row],[Old ULSD Used (gal):]]*VLOOKUP(Table2[[#This Row],[Engine Model Year:]],EF!$A$2:$G$27,7,FALSE))</f>
        <v/>
      </c>
      <c r="BZ17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3" s="195" t="str">
        <f>IF(Table2[[#This Row],[Counter Number]]="","",Table2[[#This Row],[Old Bus CO2 Emissions (tons/yr)]]-Table2[[#This Row],[New Bus CO2 Emissions (tons/yr)]])</f>
        <v/>
      </c>
      <c r="CB173" s="188" t="str">
        <f>IF(Table2[[#This Row],[Counter Number]]="","",Table2[[#This Row],[Reduction Bus CO2 Emissions (tons/yr)]]/Table2[[#This Row],[Old Bus CO2 Emissions (tons/yr)]])</f>
        <v/>
      </c>
      <c r="CC173" s="195" t="str">
        <f>IF(Table2[[#This Row],[Counter Number]]="","",Table2[[#This Row],[Reduction Bus CO2 Emissions (tons/yr)]]*Table2[[#This Row],[Remaining Life:]])</f>
        <v/>
      </c>
      <c r="CD173" s="194" t="str">
        <f>IF(Table2[[#This Row],[Counter Number]]="","",IF(Table2[[#This Row],[Lifetime CO2 Reduction (tons)]]=0,"NA",Table2[[#This Row],[Upgrade Cost Per Unit]]/Table2[[#This Row],[Lifetime CO2 Reduction (tons)]]))</f>
        <v/>
      </c>
      <c r="CE173" s="182" t="str">
        <f>IF(Table2[[#This Row],[Counter Number]]="","",IF(Table2[[#This Row],[New ULSD Used (gal):]]="",Table2[[#This Row],[Old ULSD Used (gal):]],Table2[[#This Row],[Old ULSD Used (gal):]]-Table2[[#This Row],[New ULSD Used (gal):]]))</f>
        <v/>
      </c>
      <c r="CF173" s="196" t="str">
        <f>IF(Table2[[#This Row],[Counter Number]]="","",Table2[[#This Row],[Diesel Fuel Reduction (gal/yr)]]/Table2[[#This Row],[Old ULSD Used (gal):]])</f>
        <v/>
      </c>
      <c r="CG173" s="197" t="str">
        <f>IF(Table2[[#This Row],[Counter Number]]="","",Table2[[#This Row],[Diesel Fuel Reduction (gal/yr)]]*Table2[[#This Row],[Remaining Life:]])</f>
        <v/>
      </c>
    </row>
    <row r="174" spans="1:85">
      <c r="A174" s="184" t="str">
        <f>IF(A163&lt;Application!$D$24,A163+1,"")</f>
        <v/>
      </c>
      <c r="B174" s="60" t="str">
        <f>IF(Table2[[#This Row],[Counter Number]]="","",Application!$D$16)</f>
        <v/>
      </c>
      <c r="C174" s="60" t="str">
        <f>IF(Table2[[#This Row],[Counter Number]]="","",Application!$D$14)</f>
        <v/>
      </c>
      <c r="D174" s="60" t="str">
        <f>IF(Table2[[#This Row],[Counter Number]]="","",Table1[[#This Row],[Old Bus Number]])</f>
        <v/>
      </c>
      <c r="E174" s="60" t="str">
        <f>IF(Table2[[#This Row],[Counter Number]]="","",Application!$D$15)</f>
        <v/>
      </c>
      <c r="F174" s="60" t="str">
        <f>IF(Table2[[#This Row],[Counter Number]]="","","On Highway")</f>
        <v/>
      </c>
      <c r="G174" s="60" t="str">
        <f>IF(Table2[[#This Row],[Counter Number]]="","",I174)</f>
        <v/>
      </c>
      <c r="H174" s="60" t="str">
        <f>IF(Table2[[#This Row],[Counter Number]]="","","Georgia")</f>
        <v/>
      </c>
      <c r="I174" s="60" t="str">
        <f>IF(Table2[[#This Row],[Counter Number]]="","",Application!$D$16)</f>
        <v/>
      </c>
      <c r="J174" s="60" t="str">
        <f>IF(Table2[[#This Row],[Counter Number]]="","",Application!$D$21)</f>
        <v/>
      </c>
      <c r="K174" s="60" t="str">
        <f>IF(Table2[[#This Row],[Counter Number]]="","",Application!$J$21)</f>
        <v/>
      </c>
      <c r="L174" s="60" t="str">
        <f>IF(Table2[[#This Row],[Counter Number]]="","","School Bus")</f>
        <v/>
      </c>
      <c r="M174" s="60" t="str">
        <f>IF(Table2[[#This Row],[Counter Number]]="","","School Bus")</f>
        <v/>
      </c>
      <c r="N174" s="60" t="str">
        <f>IF(Table2[[#This Row],[Counter Number]]="","",1)</f>
        <v/>
      </c>
      <c r="O174" s="60" t="str">
        <f>IF(Table2[[#This Row],[Counter Number]]="","",Table1[[#This Row],[Vehicle Identification Number(s):]])</f>
        <v/>
      </c>
      <c r="P174" s="60" t="str">
        <f>IF(Table2[[#This Row],[Counter Number]]="","",Table1[[#This Row],[Old Bus Manufacturer:]])</f>
        <v/>
      </c>
      <c r="Q174" s="60" t="str">
        <f>IF(Table2[[#This Row],[Counter Number]]="","",Table1[[#This Row],[Vehicle Model:]])</f>
        <v/>
      </c>
      <c r="R174" s="165" t="str">
        <f>IF(Table2[[#This Row],[Counter Number]]="","",Table1[[#This Row],[Vehicle Model Year:]])</f>
        <v/>
      </c>
      <c r="S174" s="60" t="str">
        <f>IF(Table2[[#This Row],[Counter Number]]="","",Table1[[#This Row],[Engine Serial Number(s):]])</f>
        <v/>
      </c>
      <c r="T174" s="60" t="str">
        <f>IF(Table2[[#This Row],[Counter Number]]="","",Table1[[#This Row],[Engine Make:]])</f>
        <v/>
      </c>
      <c r="U174" s="60" t="str">
        <f>IF(Table2[[#This Row],[Counter Number]]="","",Table1[[#This Row],[Engine Model:]])</f>
        <v/>
      </c>
      <c r="V174" s="165" t="str">
        <f>IF(Table2[[#This Row],[Counter Number]]="","",Table1[[#This Row],[Engine Model Year:]])</f>
        <v/>
      </c>
      <c r="W174" s="60" t="str">
        <f>IF(Table2[[#This Row],[Counter Number]]="","","NA")</f>
        <v/>
      </c>
      <c r="X174" s="165" t="str">
        <f>IF(Table2[[#This Row],[Counter Number]]="","",Table1[[#This Row],[Engine Horsepower (HP):]])</f>
        <v/>
      </c>
      <c r="Y174" s="165" t="str">
        <f>IF(Table2[[#This Row],[Counter Number]]="","",Table1[[#This Row],[Engine Cylinder Displacement (L):]]&amp;" L")</f>
        <v/>
      </c>
      <c r="Z174" s="165" t="str">
        <f>IF(Table2[[#This Row],[Counter Number]]="","",Table1[[#This Row],[Engine Number of Cylinders:]])</f>
        <v/>
      </c>
      <c r="AA174" s="166" t="str">
        <f>IF(Table2[[#This Row],[Counter Number]]="","",Table1[[#This Row],[Engine Family Name:]])</f>
        <v/>
      </c>
      <c r="AB174" s="60" t="str">
        <f>IF(Table2[[#This Row],[Counter Number]]="","","ULSD")</f>
        <v/>
      </c>
      <c r="AC174" s="167" t="str">
        <f>IF(Table2[[#This Row],[Counter Number]]="","",Table2[[#This Row],[Annual Miles Traveled:]]/Table1[[#This Row],[Old Fuel (mpg)]])</f>
        <v/>
      </c>
      <c r="AD174" s="60" t="str">
        <f>IF(Table2[[#This Row],[Counter Number]]="","","NA")</f>
        <v/>
      </c>
      <c r="AE174" s="168" t="str">
        <f>IF(Table2[[#This Row],[Counter Number]]="","",Table1[[#This Row],[Annual Miles Traveled]])</f>
        <v/>
      </c>
      <c r="AF174" s="169" t="str">
        <f>IF(Table2[[#This Row],[Counter Number]]="","",Table1[[#This Row],[Annual Idling Hours:]])</f>
        <v/>
      </c>
      <c r="AG174" s="60" t="str">
        <f>IF(Table2[[#This Row],[Counter Number]]="","","NA")</f>
        <v/>
      </c>
      <c r="AH174" s="165" t="str">
        <f>IF(Table2[[#This Row],[Counter Number]]="","",IF(Application!$J$25="Set Policy",Table1[[#This Row],[Remaining Life (years)         Set Policy]],Table1[[#This Row],[Remaining Life (years)               Case-by-Case]]))</f>
        <v/>
      </c>
      <c r="AI174" s="165" t="str">
        <f>IF(Table2[[#This Row],[Counter Number]]="","",IF(Application!$J$25="Case-by-Case","NA",Table2[[#This Row],[Fiscal Year of EPA Funds Used:]]+Table2[[#This Row],[Remaining Life:]]))</f>
        <v/>
      </c>
      <c r="AJ174" s="165"/>
      <c r="AK174" s="170" t="str">
        <f>IF(Table2[[#This Row],[Counter Number]]="","",Application!$D$14+1)</f>
        <v/>
      </c>
      <c r="AL174" s="60" t="str">
        <f>IF(Table2[[#This Row],[Counter Number]]="","","Vehicle Replacement")</f>
        <v/>
      </c>
      <c r="AM17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4" s="171" t="str">
        <f>IF(Table2[[#This Row],[Counter Number]]="","",Table1[[#This Row],[Cost of New Bus:]])</f>
        <v/>
      </c>
      <c r="AO174" s="60" t="str">
        <f>IF(Table2[[#This Row],[Counter Number]]="","","NA")</f>
        <v/>
      </c>
      <c r="AP174" s="165" t="str">
        <f>IF(Table2[[#This Row],[Counter Number]]="","",Table1[[#This Row],[New Engine Model Year:]])</f>
        <v/>
      </c>
      <c r="AQ174" s="60" t="str">
        <f>IF(Table2[[#This Row],[Counter Number]]="","","NA")</f>
        <v/>
      </c>
      <c r="AR174" s="165" t="str">
        <f>IF(Table2[[#This Row],[Counter Number]]="","",Table1[[#This Row],[New Engine Horsepower (HP):]])</f>
        <v/>
      </c>
      <c r="AS174" s="60" t="str">
        <f>IF(Table2[[#This Row],[Counter Number]]="","","NA")</f>
        <v/>
      </c>
      <c r="AT174" s="165" t="str">
        <f>IF(Table2[[#This Row],[Counter Number]]="","",Table1[[#This Row],[New Engine Cylinder Displacement (L):]]&amp;" L")</f>
        <v/>
      </c>
      <c r="AU174" s="114" t="str">
        <f>IF(Table2[[#This Row],[Counter Number]]="","",Table1[[#This Row],[New Engine Number of Cylinders:]])</f>
        <v/>
      </c>
      <c r="AV174" s="60" t="str">
        <f>IF(Table2[[#This Row],[Counter Number]]="","",Table1[[#This Row],[New Engine Family Name:]])</f>
        <v/>
      </c>
      <c r="AW17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4" s="60" t="str">
        <f>IF(Table2[[#This Row],[Counter Number]]="","","NA")</f>
        <v/>
      </c>
      <c r="AY174" s="172" t="str">
        <f>IF(Table2[[#This Row],[Counter Number]]="","",IF(Table2[[#This Row],[New Engine Fuel Type:]]="ULSD",Table1[[#This Row],[Annual Miles Traveled]]/Table1[[#This Row],[New Fuel (mpg) if Diesel]],""))</f>
        <v/>
      </c>
      <c r="AZ174" s="60"/>
      <c r="BA174" s="173" t="str">
        <f>IF(Table2[[#This Row],[Counter Number]]="","",Table2[[#This Row],[Annual Miles Traveled:]]*VLOOKUP(Table2[[#This Row],[Engine Model Year:]],EFTable[],3,FALSE))</f>
        <v/>
      </c>
      <c r="BB174" s="173" t="str">
        <f>IF(Table2[[#This Row],[Counter Number]]="","",Table2[[#This Row],[Annual Miles Traveled:]]*IF(Table2[[#This Row],[New Engine Fuel Type:]]="ULSD",VLOOKUP(Table2[[#This Row],[New Engine Model Year:]],EFTable[],3,FALSE),VLOOKUP(Table2[[#This Row],[New Engine Fuel Type:]],EFTable[],3,FALSE)))</f>
        <v/>
      </c>
      <c r="BC174" s="187" t="str">
        <f>IF(Table2[[#This Row],[Counter Number]]="","",Table2[[#This Row],[Old Bus NOx Emissions (tons/yr)]]-Table2[[#This Row],[New Bus NOx Emissions (tons/yr)]])</f>
        <v/>
      </c>
      <c r="BD174" s="188" t="str">
        <f>IF(Table2[[#This Row],[Counter Number]]="","",Table2[[#This Row],[Reduction Bus NOx Emissions (tons/yr)]]/Table2[[#This Row],[Old Bus NOx Emissions (tons/yr)]])</f>
        <v/>
      </c>
      <c r="BE174" s="175" t="str">
        <f>IF(Table2[[#This Row],[Counter Number]]="","",Table2[[#This Row],[Reduction Bus NOx Emissions (tons/yr)]]*Table2[[#This Row],[Remaining Life:]])</f>
        <v/>
      </c>
      <c r="BF174" s="189" t="str">
        <f>IF(Table2[[#This Row],[Counter Number]]="","",IF(Table2[[#This Row],[Lifetime NOx Reduction (tons)]]=0,"NA",Table2[[#This Row],[Upgrade Cost Per Unit]]/Table2[[#This Row],[Lifetime NOx Reduction (tons)]]))</f>
        <v/>
      </c>
      <c r="BG174" s="190" t="str">
        <f>IF(Table2[[#This Row],[Counter Number]]="","",Table2[[#This Row],[Annual Miles Traveled:]]*VLOOKUP(Table2[[#This Row],[Engine Model Year:]],EF!$A$2:$G$27,4,FALSE))</f>
        <v/>
      </c>
      <c r="BH174" s="173" t="str">
        <f>IF(Table2[[#This Row],[Counter Number]]="","",Table2[[#This Row],[Annual Miles Traveled:]]*IF(Table2[[#This Row],[New Engine Fuel Type:]]="ULSD",VLOOKUP(Table2[[#This Row],[New Engine Model Year:]],EFTable[],4,FALSE),VLOOKUP(Table2[[#This Row],[New Engine Fuel Type:]],EFTable[],4,FALSE)))</f>
        <v/>
      </c>
      <c r="BI174" s="191" t="str">
        <f>IF(Table2[[#This Row],[Counter Number]]="","",Table2[[#This Row],[Old Bus PM2.5 Emissions (tons/yr)]]-Table2[[#This Row],[New Bus PM2.5 Emissions (tons/yr)]])</f>
        <v/>
      </c>
      <c r="BJ174" s="192" t="str">
        <f>IF(Table2[[#This Row],[Counter Number]]="","",Table2[[#This Row],[Reduction Bus PM2.5 Emissions (tons/yr)]]/Table2[[#This Row],[Old Bus PM2.5 Emissions (tons/yr)]])</f>
        <v/>
      </c>
      <c r="BK174" s="193" t="str">
        <f>IF(Table2[[#This Row],[Counter Number]]="","",Table2[[#This Row],[Reduction Bus PM2.5 Emissions (tons/yr)]]*Table2[[#This Row],[Remaining Life:]])</f>
        <v/>
      </c>
      <c r="BL174" s="194" t="str">
        <f>IF(Table2[[#This Row],[Counter Number]]="","",IF(Table2[[#This Row],[Lifetime PM2.5 Reduction (tons)]]=0,"NA",Table2[[#This Row],[Upgrade Cost Per Unit]]/Table2[[#This Row],[Lifetime PM2.5 Reduction (tons)]]))</f>
        <v/>
      </c>
      <c r="BM174" s="179" t="str">
        <f>IF(Table2[[#This Row],[Counter Number]]="","",Table2[[#This Row],[Annual Miles Traveled:]]*VLOOKUP(Table2[[#This Row],[Engine Model Year:]],EF!$A$2:$G$40,5,FALSE))</f>
        <v/>
      </c>
      <c r="BN174" s="173" t="str">
        <f>IF(Table2[[#This Row],[Counter Number]]="","",Table2[[#This Row],[Annual Miles Traveled:]]*IF(Table2[[#This Row],[New Engine Fuel Type:]]="ULSD",VLOOKUP(Table2[[#This Row],[New Engine Model Year:]],EFTable[],5,FALSE),VLOOKUP(Table2[[#This Row],[New Engine Fuel Type:]],EFTable[],5,FALSE)))</f>
        <v/>
      </c>
      <c r="BO174" s="190" t="str">
        <f>IF(Table2[[#This Row],[Counter Number]]="","",Table2[[#This Row],[Old Bus HC Emissions (tons/yr)]]-Table2[[#This Row],[New Bus HC Emissions (tons/yr)]])</f>
        <v/>
      </c>
      <c r="BP174" s="188" t="str">
        <f>IF(Table2[[#This Row],[Counter Number]]="","",Table2[[#This Row],[Reduction Bus HC Emissions (tons/yr)]]/Table2[[#This Row],[Old Bus HC Emissions (tons/yr)]])</f>
        <v/>
      </c>
      <c r="BQ174" s="193" t="str">
        <f>IF(Table2[[#This Row],[Counter Number]]="","",Table2[[#This Row],[Reduction Bus HC Emissions (tons/yr)]]*Table2[[#This Row],[Remaining Life:]])</f>
        <v/>
      </c>
      <c r="BR174" s="194" t="str">
        <f>IF(Table2[[#This Row],[Counter Number]]="","",IF(Table2[[#This Row],[Lifetime HC Reduction (tons)]]=0,"NA",Table2[[#This Row],[Upgrade Cost Per Unit]]/Table2[[#This Row],[Lifetime HC Reduction (tons)]]))</f>
        <v/>
      </c>
      <c r="BS174" s="191" t="str">
        <f>IF(Table2[[#This Row],[Counter Number]]="","",Table2[[#This Row],[Annual Miles Traveled:]]*VLOOKUP(Table2[[#This Row],[Engine Model Year:]],EF!$A$2:$G$27,6,FALSE))</f>
        <v/>
      </c>
      <c r="BT174" s="173" t="str">
        <f>IF(Table2[[#This Row],[Counter Number]]="","",Table2[[#This Row],[Annual Miles Traveled:]]*IF(Table2[[#This Row],[New Engine Fuel Type:]]="ULSD",VLOOKUP(Table2[[#This Row],[New Engine Model Year:]],EFTable[],6,FALSE),VLOOKUP(Table2[[#This Row],[New Engine Fuel Type:]],EFTable[],6,FALSE)))</f>
        <v/>
      </c>
      <c r="BU174" s="190" t="str">
        <f>IF(Table2[[#This Row],[Counter Number]]="","",Table2[[#This Row],[Old Bus CO Emissions (tons/yr)]]-Table2[[#This Row],[New Bus CO Emissions (tons/yr)]])</f>
        <v/>
      </c>
      <c r="BV174" s="188" t="str">
        <f>IF(Table2[[#This Row],[Counter Number]]="","",Table2[[#This Row],[Reduction Bus CO Emissions (tons/yr)]]/Table2[[#This Row],[Old Bus CO Emissions (tons/yr)]])</f>
        <v/>
      </c>
      <c r="BW174" s="193" t="str">
        <f>IF(Table2[[#This Row],[Counter Number]]="","",Table2[[#This Row],[Reduction Bus CO Emissions (tons/yr)]]*Table2[[#This Row],[Remaining Life:]])</f>
        <v/>
      </c>
      <c r="BX174" s="194" t="str">
        <f>IF(Table2[[#This Row],[Counter Number]]="","",IF(Table2[[#This Row],[Lifetime CO Reduction (tons)]]=0,"NA",Table2[[#This Row],[Upgrade Cost Per Unit]]/Table2[[#This Row],[Lifetime CO Reduction (tons)]]))</f>
        <v/>
      </c>
      <c r="BY174" s="180" t="str">
        <f>IF(Table2[[#This Row],[Counter Number]]="","",Table2[[#This Row],[Old ULSD Used (gal):]]*VLOOKUP(Table2[[#This Row],[Engine Model Year:]],EF!$A$2:$G$27,7,FALSE))</f>
        <v/>
      </c>
      <c r="BZ17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4" s="195" t="str">
        <f>IF(Table2[[#This Row],[Counter Number]]="","",Table2[[#This Row],[Old Bus CO2 Emissions (tons/yr)]]-Table2[[#This Row],[New Bus CO2 Emissions (tons/yr)]])</f>
        <v/>
      </c>
      <c r="CB174" s="188" t="str">
        <f>IF(Table2[[#This Row],[Counter Number]]="","",Table2[[#This Row],[Reduction Bus CO2 Emissions (tons/yr)]]/Table2[[#This Row],[Old Bus CO2 Emissions (tons/yr)]])</f>
        <v/>
      </c>
      <c r="CC174" s="195" t="str">
        <f>IF(Table2[[#This Row],[Counter Number]]="","",Table2[[#This Row],[Reduction Bus CO2 Emissions (tons/yr)]]*Table2[[#This Row],[Remaining Life:]])</f>
        <v/>
      </c>
      <c r="CD174" s="194" t="str">
        <f>IF(Table2[[#This Row],[Counter Number]]="","",IF(Table2[[#This Row],[Lifetime CO2 Reduction (tons)]]=0,"NA",Table2[[#This Row],[Upgrade Cost Per Unit]]/Table2[[#This Row],[Lifetime CO2 Reduction (tons)]]))</f>
        <v/>
      </c>
      <c r="CE174" s="182" t="str">
        <f>IF(Table2[[#This Row],[Counter Number]]="","",IF(Table2[[#This Row],[New ULSD Used (gal):]]="",Table2[[#This Row],[Old ULSD Used (gal):]],Table2[[#This Row],[Old ULSD Used (gal):]]-Table2[[#This Row],[New ULSD Used (gal):]]))</f>
        <v/>
      </c>
      <c r="CF174" s="196" t="str">
        <f>IF(Table2[[#This Row],[Counter Number]]="","",Table2[[#This Row],[Diesel Fuel Reduction (gal/yr)]]/Table2[[#This Row],[Old ULSD Used (gal):]])</f>
        <v/>
      </c>
      <c r="CG174" s="197" t="str">
        <f>IF(Table2[[#This Row],[Counter Number]]="","",Table2[[#This Row],[Diesel Fuel Reduction (gal/yr)]]*Table2[[#This Row],[Remaining Life:]])</f>
        <v/>
      </c>
    </row>
    <row r="175" spans="1:85">
      <c r="A175" s="184" t="str">
        <f>IF(A164&lt;Application!$D$24,A164+1,"")</f>
        <v/>
      </c>
      <c r="B175" s="60" t="str">
        <f>IF(Table2[[#This Row],[Counter Number]]="","",Application!$D$16)</f>
        <v/>
      </c>
      <c r="C175" s="60" t="str">
        <f>IF(Table2[[#This Row],[Counter Number]]="","",Application!$D$14)</f>
        <v/>
      </c>
      <c r="D175" s="60" t="str">
        <f>IF(Table2[[#This Row],[Counter Number]]="","",Table1[[#This Row],[Old Bus Number]])</f>
        <v/>
      </c>
      <c r="E175" s="60" t="str">
        <f>IF(Table2[[#This Row],[Counter Number]]="","",Application!$D$15)</f>
        <v/>
      </c>
      <c r="F175" s="60" t="str">
        <f>IF(Table2[[#This Row],[Counter Number]]="","","On Highway")</f>
        <v/>
      </c>
      <c r="G175" s="60" t="str">
        <f>IF(Table2[[#This Row],[Counter Number]]="","",I175)</f>
        <v/>
      </c>
      <c r="H175" s="60" t="str">
        <f>IF(Table2[[#This Row],[Counter Number]]="","","Georgia")</f>
        <v/>
      </c>
      <c r="I175" s="60" t="str">
        <f>IF(Table2[[#This Row],[Counter Number]]="","",Application!$D$16)</f>
        <v/>
      </c>
      <c r="J175" s="60" t="str">
        <f>IF(Table2[[#This Row],[Counter Number]]="","",Application!$D$21)</f>
        <v/>
      </c>
      <c r="K175" s="60" t="str">
        <f>IF(Table2[[#This Row],[Counter Number]]="","",Application!$J$21)</f>
        <v/>
      </c>
      <c r="L175" s="60" t="str">
        <f>IF(Table2[[#This Row],[Counter Number]]="","","School Bus")</f>
        <v/>
      </c>
      <c r="M175" s="60" t="str">
        <f>IF(Table2[[#This Row],[Counter Number]]="","","School Bus")</f>
        <v/>
      </c>
      <c r="N175" s="60" t="str">
        <f>IF(Table2[[#This Row],[Counter Number]]="","",1)</f>
        <v/>
      </c>
      <c r="O175" s="60" t="str">
        <f>IF(Table2[[#This Row],[Counter Number]]="","",Table1[[#This Row],[Vehicle Identification Number(s):]])</f>
        <v/>
      </c>
      <c r="P175" s="60" t="str">
        <f>IF(Table2[[#This Row],[Counter Number]]="","",Table1[[#This Row],[Old Bus Manufacturer:]])</f>
        <v/>
      </c>
      <c r="Q175" s="60" t="str">
        <f>IF(Table2[[#This Row],[Counter Number]]="","",Table1[[#This Row],[Vehicle Model:]])</f>
        <v/>
      </c>
      <c r="R175" s="165" t="str">
        <f>IF(Table2[[#This Row],[Counter Number]]="","",Table1[[#This Row],[Vehicle Model Year:]])</f>
        <v/>
      </c>
      <c r="S175" s="60" t="str">
        <f>IF(Table2[[#This Row],[Counter Number]]="","",Table1[[#This Row],[Engine Serial Number(s):]])</f>
        <v/>
      </c>
      <c r="T175" s="60" t="str">
        <f>IF(Table2[[#This Row],[Counter Number]]="","",Table1[[#This Row],[Engine Make:]])</f>
        <v/>
      </c>
      <c r="U175" s="60" t="str">
        <f>IF(Table2[[#This Row],[Counter Number]]="","",Table1[[#This Row],[Engine Model:]])</f>
        <v/>
      </c>
      <c r="V175" s="165" t="str">
        <f>IF(Table2[[#This Row],[Counter Number]]="","",Table1[[#This Row],[Engine Model Year:]])</f>
        <v/>
      </c>
      <c r="W175" s="60" t="str">
        <f>IF(Table2[[#This Row],[Counter Number]]="","","NA")</f>
        <v/>
      </c>
      <c r="X175" s="165" t="str">
        <f>IF(Table2[[#This Row],[Counter Number]]="","",Table1[[#This Row],[Engine Horsepower (HP):]])</f>
        <v/>
      </c>
      <c r="Y175" s="165" t="str">
        <f>IF(Table2[[#This Row],[Counter Number]]="","",Table1[[#This Row],[Engine Cylinder Displacement (L):]]&amp;" L")</f>
        <v/>
      </c>
      <c r="Z175" s="165" t="str">
        <f>IF(Table2[[#This Row],[Counter Number]]="","",Table1[[#This Row],[Engine Number of Cylinders:]])</f>
        <v/>
      </c>
      <c r="AA175" s="166" t="str">
        <f>IF(Table2[[#This Row],[Counter Number]]="","",Table1[[#This Row],[Engine Family Name:]])</f>
        <v/>
      </c>
      <c r="AB175" s="60" t="str">
        <f>IF(Table2[[#This Row],[Counter Number]]="","","ULSD")</f>
        <v/>
      </c>
      <c r="AC175" s="167" t="str">
        <f>IF(Table2[[#This Row],[Counter Number]]="","",Table2[[#This Row],[Annual Miles Traveled:]]/Table1[[#This Row],[Old Fuel (mpg)]])</f>
        <v/>
      </c>
      <c r="AD175" s="60" t="str">
        <f>IF(Table2[[#This Row],[Counter Number]]="","","NA")</f>
        <v/>
      </c>
      <c r="AE175" s="168" t="str">
        <f>IF(Table2[[#This Row],[Counter Number]]="","",Table1[[#This Row],[Annual Miles Traveled]])</f>
        <v/>
      </c>
      <c r="AF175" s="169" t="str">
        <f>IF(Table2[[#This Row],[Counter Number]]="","",Table1[[#This Row],[Annual Idling Hours:]])</f>
        <v/>
      </c>
      <c r="AG175" s="60" t="str">
        <f>IF(Table2[[#This Row],[Counter Number]]="","","NA")</f>
        <v/>
      </c>
      <c r="AH175" s="165" t="str">
        <f>IF(Table2[[#This Row],[Counter Number]]="","",IF(Application!$J$25="Set Policy",Table1[[#This Row],[Remaining Life (years)         Set Policy]],Table1[[#This Row],[Remaining Life (years)               Case-by-Case]]))</f>
        <v/>
      </c>
      <c r="AI175" s="165" t="str">
        <f>IF(Table2[[#This Row],[Counter Number]]="","",IF(Application!$J$25="Case-by-Case","NA",Table2[[#This Row],[Fiscal Year of EPA Funds Used:]]+Table2[[#This Row],[Remaining Life:]]))</f>
        <v/>
      </c>
      <c r="AJ175" s="165"/>
      <c r="AK175" s="170" t="str">
        <f>IF(Table2[[#This Row],[Counter Number]]="","",Application!$D$14+1)</f>
        <v/>
      </c>
      <c r="AL175" s="60" t="str">
        <f>IF(Table2[[#This Row],[Counter Number]]="","","Vehicle Replacement")</f>
        <v/>
      </c>
      <c r="AM17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5" s="171" t="str">
        <f>IF(Table2[[#This Row],[Counter Number]]="","",Table1[[#This Row],[Cost of New Bus:]])</f>
        <v/>
      </c>
      <c r="AO175" s="60" t="str">
        <f>IF(Table2[[#This Row],[Counter Number]]="","","NA")</f>
        <v/>
      </c>
      <c r="AP175" s="165" t="str">
        <f>IF(Table2[[#This Row],[Counter Number]]="","",Table1[[#This Row],[New Engine Model Year:]])</f>
        <v/>
      </c>
      <c r="AQ175" s="60" t="str">
        <f>IF(Table2[[#This Row],[Counter Number]]="","","NA")</f>
        <v/>
      </c>
      <c r="AR175" s="165" t="str">
        <f>IF(Table2[[#This Row],[Counter Number]]="","",Table1[[#This Row],[New Engine Horsepower (HP):]])</f>
        <v/>
      </c>
      <c r="AS175" s="60" t="str">
        <f>IF(Table2[[#This Row],[Counter Number]]="","","NA")</f>
        <v/>
      </c>
      <c r="AT175" s="165" t="str">
        <f>IF(Table2[[#This Row],[Counter Number]]="","",Table1[[#This Row],[New Engine Cylinder Displacement (L):]]&amp;" L")</f>
        <v/>
      </c>
      <c r="AU175" s="114" t="str">
        <f>IF(Table2[[#This Row],[Counter Number]]="","",Table1[[#This Row],[New Engine Number of Cylinders:]])</f>
        <v/>
      </c>
      <c r="AV175" s="60" t="str">
        <f>IF(Table2[[#This Row],[Counter Number]]="","",Table1[[#This Row],[New Engine Family Name:]])</f>
        <v/>
      </c>
      <c r="AW17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5" s="60" t="str">
        <f>IF(Table2[[#This Row],[Counter Number]]="","","NA")</f>
        <v/>
      </c>
      <c r="AY175" s="172" t="str">
        <f>IF(Table2[[#This Row],[Counter Number]]="","",IF(Table2[[#This Row],[New Engine Fuel Type:]]="ULSD",Table1[[#This Row],[Annual Miles Traveled]]/Table1[[#This Row],[New Fuel (mpg) if Diesel]],""))</f>
        <v/>
      </c>
      <c r="AZ175" s="60"/>
      <c r="BA175" s="173" t="str">
        <f>IF(Table2[[#This Row],[Counter Number]]="","",Table2[[#This Row],[Annual Miles Traveled:]]*VLOOKUP(Table2[[#This Row],[Engine Model Year:]],EFTable[],3,FALSE))</f>
        <v/>
      </c>
      <c r="BB175" s="173" t="str">
        <f>IF(Table2[[#This Row],[Counter Number]]="","",Table2[[#This Row],[Annual Miles Traveled:]]*IF(Table2[[#This Row],[New Engine Fuel Type:]]="ULSD",VLOOKUP(Table2[[#This Row],[New Engine Model Year:]],EFTable[],3,FALSE),VLOOKUP(Table2[[#This Row],[New Engine Fuel Type:]],EFTable[],3,FALSE)))</f>
        <v/>
      </c>
      <c r="BC175" s="187" t="str">
        <f>IF(Table2[[#This Row],[Counter Number]]="","",Table2[[#This Row],[Old Bus NOx Emissions (tons/yr)]]-Table2[[#This Row],[New Bus NOx Emissions (tons/yr)]])</f>
        <v/>
      </c>
      <c r="BD175" s="188" t="str">
        <f>IF(Table2[[#This Row],[Counter Number]]="","",Table2[[#This Row],[Reduction Bus NOx Emissions (tons/yr)]]/Table2[[#This Row],[Old Bus NOx Emissions (tons/yr)]])</f>
        <v/>
      </c>
      <c r="BE175" s="175" t="str">
        <f>IF(Table2[[#This Row],[Counter Number]]="","",Table2[[#This Row],[Reduction Bus NOx Emissions (tons/yr)]]*Table2[[#This Row],[Remaining Life:]])</f>
        <v/>
      </c>
      <c r="BF175" s="189" t="str">
        <f>IF(Table2[[#This Row],[Counter Number]]="","",IF(Table2[[#This Row],[Lifetime NOx Reduction (tons)]]=0,"NA",Table2[[#This Row],[Upgrade Cost Per Unit]]/Table2[[#This Row],[Lifetime NOx Reduction (tons)]]))</f>
        <v/>
      </c>
      <c r="BG175" s="190" t="str">
        <f>IF(Table2[[#This Row],[Counter Number]]="","",Table2[[#This Row],[Annual Miles Traveled:]]*VLOOKUP(Table2[[#This Row],[Engine Model Year:]],EF!$A$2:$G$27,4,FALSE))</f>
        <v/>
      </c>
      <c r="BH175" s="173" t="str">
        <f>IF(Table2[[#This Row],[Counter Number]]="","",Table2[[#This Row],[Annual Miles Traveled:]]*IF(Table2[[#This Row],[New Engine Fuel Type:]]="ULSD",VLOOKUP(Table2[[#This Row],[New Engine Model Year:]],EFTable[],4,FALSE),VLOOKUP(Table2[[#This Row],[New Engine Fuel Type:]],EFTable[],4,FALSE)))</f>
        <v/>
      </c>
      <c r="BI175" s="191" t="str">
        <f>IF(Table2[[#This Row],[Counter Number]]="","",Table2[[#This Row],[Old Bus PM2.5 Emissions (tons/yr)]]-Table2[[#This Row],[New Bus PM2.5 Emissions (tons/yr)]])</f>
        <v/>
      </c>
      <c r="BJ175" s="192" t="str">
        <f>IF(Table2[[#This Row],[Counter Number]]="","",Table2[[#This Row],[Reduction Bus PM2.5 Emissions (tons/yr)]]/Table2[[#This Row],[Old Bus PM2.5 Emissions (tons/yr)]])</f>
        <v/>
      </c>
      <c r="BK175" s="193" t="str">
        <f>IF(Table2[[#This Row],[Counter Number]]="","",Table2[[#This Row],[Reduction Bus PM2.5 Emissions (tons/yr)]]*Table2[[#This Row],[Remaining Life:]])</f>
        <v/>
      </c>
      <c r="BL175" s="194" t="str">
        <f>IF(Table2[[#This Row],[Counter Number]]="","",IF(Table2[[#This Row],[Lifetime PM2.5 Reduction (tons)]]=0,"NA",Table2[[#This Row],[Upgrade Cost Per Unit]]/Table2[[#This Row],[Lifetime PM2.5 Reduction (tons)]]))</f>
        <v/>
      </c>
      <c r="BM175" s="179" t="str">
        <f>IF(Table2[[#This Row],[Counter Number]]="","",Table2[[#This Row],[Annual Miles Traveled:]]*VLOOKUP(Table2[[#This Row],[Engine Model Year:]],EF!$A$2:$G$40,5,FALSE))</f>
        <v/>
      </c>
      <c r="BN175" s="173" t="str">
        <f>IF(Table2[[#This Row],[Counter Number]]="","",Table2[[#This Row],[Annual Miles Traveled:]]*IF(Table2[[#This Row],[New Engine Fuel Type:]]="ULSD",VLOOKUP(Table2[[#This Row],[New Engine Model Year:]],EFTable[],5,FALSE),VLOOKUP(Table2[[#This Row],[New Engine Fuel Type:]],EFTable[],5,FALSE)))</f>
        <v/>
      </c>
      <c r="BO175" s="190" t="str">
        <f>IF(Table2[[#This Row],[Counter Number]]="","",Table2[[#This Row],[Old Bus HC Emissions (tons/yr)]]-Table2[[#This Row],[New Bus HC Emissions (tons/yr)]])</f>
        <v/>
      </c>
      <c r="BP175" s="188" t="str">
        <f>IF(Table2[[#This Row],[Counter Number]]="","",Table2[[#This Row],[Reduction Bus HC Emissions (tons/yr)]]/Table2[[#This Row],[Old Bus HC Emissions (tons/yr)]])</f>
        <v/>
      </c>
      <c r="BQ175" s="193" t="str">
        <f>IF(Table2[[#This Row],[Counter Number]]="","",Table2[[#This Row],[Reduction Bus HC Emissions (tons/yr)]]*Table2[[#This Row],[Remaining Life:]])</f>
        <v/>
      </c>
      <c r="BR175" s="194" t="str">
        <f>IF(Table2[[#This Row],[Counter Number]]="","",IF(Table2[[#This Row],[Lifetime HC Reduction (tons)]]=0,"NA",Table2[[#This Row],[Upgrade Cost Per Unit]]/Table2[[#This Row],[Lifetime HC Reduction (tons)]]))</f>
        <v/>
      </c>
      <c r="BS175" s="191" t="str">
        <f>IF(Table2[[#This Row],[Counter Number]]="","",Table2[[#This Row],[Annual Miles Traveled:]]*VLOOKUP(Table2[[#This Row],[Engine Model Year:]],EF!$A$2:$G$27,6,FALSE))</f>
        <v/>
      </c>
      <c r="BT175" s="173" t="str">
        <f>IF(Table2[[#This Row],[Counter Number]]="","",Table2[[#This Row],[Annual Miles Traveled:]]*IF(Table2[[#This Row],[New Engine Fuel Type:]]="ULSD",VLOOKUP(Table2[[#This Row],[New Engine Model Year:]],EFTable[],6,FALSE),VLOOKUP(Table2[[#This Row],[New Engine Fuel Type:]],EFTable[],6,FALSE)))</f>
        <v/>
      </c>
      <c r="BU175" s="190" t="str">
        <f>IF(Table2[[#This Row],[Counter Number]]="","",Table2[[#This Row],[Old Bus CO Emissions (tons/yr)]]-Table2[[#This Row],[New Bus CO Emissions (tons/yr)]])</f>
        <v/>
      </c>
      <c r="BV175" s="188" t="str">
        <f>IF(Table2[[#This Row],[Counter Number]]="","",Table2[[#This Row],[Reduction Bus CO Emissions (tons/yr)]]/Table2[[#This Row],[Old Bus CO Emissions (tons/yr)]])</f>
        <v/>
      </c>
      <c r="BW175" s="193" t="str">
        <f>IF(Table2[[#This Row],[Counter Number]]="","",Table2[[#This Row],[Reduction Bus CO Emissions (tons/yr)]]*Table2[[#This Row],[Remaining Life:]])</f>
        <v/>
      </c>
      <c r="BX175" s="194" t="str">
        <f>IF(Table2[[#This Row],[Counter Number]]="","",IF(Table2[[#This Row],[Lifetime CO Reduction (tons)]]=0,"NA",Table2[[#This Row],[Upgrade Cost Per Unit]]/Table2[[#This Row],[Lifetime CO Reduction (tons)]]))</f>
        <v/>
      </c>
      <c r="BY175" s="180" t="str">
        <f>IF(Table2[[#This Row],[Counter Number]]="","",Table2[[#This Row],[Old ULSD Used (gal):]]*VLOOKUP(Table2[[#This Row],[Engine Model Year:]],EF!$A$2:$G$27,7,FALSE))</f>
        <v/>
      </c>
      <c r="BZ17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5" s="195" t="str">
        <f>IF(Table2[[#This Row],[Counter Number]]="","",Table2[[#This Row],[Old Bus CO2 Emissions (tons/yr)]]-Table2[[#This Row],[New Bus CO2 Emissions (tons/yr)]])</f>
        <v/>
      </c>
      <c r="CB175" s="188" t="str">
        <f>IF(Table2[[#This Row],[Counter Number]]="","",Table2[[#This Row],[Reduction Bus CO2 Emissions (tons/yr)]]/Table2[[#This Row],[Old Bus CO2 Emissions (tons/yr)]])</f>
        <v/>
      </c>
      <c r="CC175" s="195" t="str">
        <f>IF(Table2[[#This Row],[Counter Number]]="","",Table2[[#This Row],[Reduction Bus CO2 Emissions (tons/yr)]]*Table2[[#This Row],[Remaining Life:]])</f>
        <v/>
      </c>
      <c r="CD175" s="194" t="str">
        <f>IF(Table2[[#This Row],[Counter Number]]="","",IF(Table2[[#This Row],[Lifetime CO2 Reduction (tons)]]=0,"NA",Table2[[#This Row],[Upgrade Cost Per Unit]]/Table2[[#This Row],[Lifetime CO2 Reduction (tons)]]))</f>
        <v/>
      </c>
      <c r="CE175" s="182" t="str">
        <f>IF(Table2[[#This Row],[Counter Number]]="","",IF(Table2[[#This Row],[New ULSD Used (gal):]]="",Table2[[#This Row],[Old ULSD Used (gal):]],Table2[[#This Row],[Old ULSD Used (gal):]]-Table2[[#This Row],[New ULSD Used (gal):]]))</f>
        <v/>
      </c>
      <c r="CF175" s="196" t="str">
        <f>IF(Table2[[#This Row],[Counter Number]]="","",Table2[[#This Row],[Diesel Fuel Reduction (gal/yr)]]/Table2[[#This Row],[Old ULSD Used (gal):]])</f>
        <v/>
      </c>
      <c r="CG175" s="197" t="str">
        <f>IF(Table2[[#This Row],[Counter Number]]="","",Table2[[#This Row],[Diesel Fuel Reduction (gal/yr)]]*Table2[[#This Row],[Remaining Life:]])</f>
        <v/>
      </c>
    </row>
    <row r="176" spans="1:85">
      <c r="A176" s="184" t="str">
        <f>IF(A110&lt;Application!$D$24,A110+1,"")</f>
        <v/>
      </c>
      <c r="B176" s="60" t="str">
        <f>IF(Table2[[#This Row],[Counter Number]]="","",Application!$D$16)</f>
        <v/>
      </c>
      <c r="C176" s="60" t="str">
        <f>IF(Table2[[#This Row],[Counter Number]]="","",Application!$D$14)</f>
        <v/>
      </c>
      <c r="D176" s="60" t="str">
        <f>IF(Table2[[#This Row],[Counter Number]]="","",Table1[[#This Row],[Old Bus Number]])</f>
        <v/>
      </c>
      <c r="E176" s="60" t="str">
        <f>IF(Table2[[#This Row],[Counter Number]]="","",Application!$D$15)</f>
        <v/>
      </c>
      <c r="F176" s="60" t="str">
        <f>IF(Table2[[#This Row],[Counter Number]]="","","On Highway")</f>
        <v/>
      </c>
      <c r="G176" s="60" t="str">
        <f>IF(Table2[[#This Row],[Counter Number]]="","",I176)</f>
        <v/>
      </c>
      <c r="H176" s="60" t="str">
        <f>IF(Table2[[#This Row],[Counter Number]]="","","Georgia")</f>
        <v/>
      </c>
      <c r="I176" s="60" t="str">
        <f>IF(Table2[[#This Row],[Counter Number]]="","",Application!$D$16)</f>
        <v/>
      </c>
      <c r="J176" s="60" t="str">
        <f>IF(Table2[[#This Row],[Counter Number]]="","",Application!$D$21)</f>
        <v/>
      </c>
      <c r="K176" s="60" t="str">
        <f>IF(Table2[[#This Row],[Counter Number]]="","",Application!$J$21)</f>
        <v/>
      </c>
      <c r="L176" s="60" t="str">
        <f>IF(Table2[[#This Row],[Counter Number]]="","","School Bus")</f>
        <v/>
      </c>
      <c r="M176" s="60" t="str">
        <f>IF(Table2[[#This Row],[Counter Number]]="","","School Bus")</f>
        <v/>
      </c>
      <c r="N176" s="60" t="str">
        <f>IF(Table2[[#This Row],[Counter Number]]="","",1)</f>
        <v/>
      </c>
      <c r="O176" s="60" t="str">
        <f>IF(Table2[[#This Row],[Counter Number]]="","",Table1[[#This Row],[Vehicle Identification Number(s):]])</f>
        <v/>
      </c>
      <c r="P176" s="60" t="str">
        <f>IF(Table2[[#This Row],[Counter Number]]="","",Table1[[#This Row],[Old Bus Manufacturer:]])</f>
        <v/>
      </c>
      <c r="Q176" s="60" t="str">
        <f>IF(Table2[[#This Row],[Counter Number]]="","",Table1[[#This Row],[Vehicle Model:]])</f>
        <v/>
      </c>
      <c r="R176" s="165" t="str">
        <f>IF(Table2[[#This Row],[Counter Number]]="","",Table1[[#This Row],[Vehicle Model Year:]])</f>
        <v/>
      </c>
      <c r="S176" s="60" t="str">
        <f>IF(Table2[[#This Row],[Counter Number]]="","",Table1[[#This Row],[Engine Serial Number(s):]])</f>
        <v/>
      </c>
      <c r="T176" s="60" t="str">
        <f>IF(Table2[[#This Row],[Counter Number]]="","",Table1[[#This Row],[Engine Make:]])</f>
        <v/>
      </c>
      <c r="U176" s="60" t="str">
        <f>IF(Table2[[#This Row],[Counter Number]]="","",Table1[[#This Row],[Engine Model:]])</f>
        <v/>
      </c>
      <c r="V176" s="165" t="str">
        <f>IF(Table2[[#This Row],[Counter Number]]="","",Table1[[#This Row],[Engine Model Year:]])</f>
        <v/>
      </c>
      <c r="W176" s="60" t="str">
        <f>IF(Table2[[#This Row],[Counter Number]]="","","NA")</f>
        <v/>
      </c>
      <c r="X176" s="165" t="str">
        <f>IF(Table2[[#This Row],[Counter Number]]="","",Table1[[#This Row],[Engine Horsepower (HP):]])</f>
        <v/>
      </c>
      <c r="Y176" s="165" t="str">
        <f>IF(Table2[[#This Row],[Counter Number]]="","",Table1[[#This Row],[Engine Cylinder Displacement (L):]]&amp;" L")</f>
        <v/>
      </c>
      <c r="Z176" s="165" t="str">
        <f>IF(Table2[[#This Row],[Counter Number]]="","",Table1[[#This Row],[Engine Number of Cylinders:]])</f>
        <v/>
      </c>
      <c r="AA176" s="166" t="str">
        <f>IF(Table2[[#This Row],[Counter Number]]="","",Table1[[#This Row],[Engine Family Name:]])</f>
        <v/>
      </c>
      <c r="AB176" s="60" t="str">
        <f>IF(Table2[[#This Row],[Counter Number]]="","","ULSD")</f>
        <v/>
      </c>
      <c r="AC176" s="167" t="str">
        <f>IF(Table2[[#This Row],[Counter Number]]="","",Table2[[#This Row],[Annual Miles Traveled:]]/Table1[[#This Row],[Old Fuel (mpg)]])</f>
        <v/>
      </c>
      <c r="AD176" s="60" t="str">
        <f>IF(Table2[[#This Row],[Counter Number]]="","","NA")</f>
        <v/>
      </c>
      <c r="AE176" s="168" t="str">
        <f>IF(Table2[[#This Row],[Counter Number]]="","",Table1[[#This Row],[Annual Miles Traveled]])</f>
        <v/>
      </c>
      <c r="AF176" s="169" t="str">
        <f>IF(Table2[[#This Row],[Counter Number]]="","",Table1[[#This Row],[Annual Idling Hours:]])</f>
        <v/>
      </c>
      <c r="AG176" s="60" t="str">
        <f>IF(Table2[[#This Row],[Counter Number]]="","","NA")</f>
        <v/>
      </c>
      <c r="AH176" s="165" t="str">
        <f>IF(Table2[[#This Row],[Counter Number]]="","",IF(Application!$J$25="Set Policy",Table1[[#This Row],[Remaining Life (years)         Set Policy]],Table1[[#This Row],[Remaining Life (years)               Case-by-Case]]))</f>
        <v/>
      </c>
      <c r="AI176" s="165" t="str">
        <f>IF(Table2[[#This Row],[Counter Number]]="","",IF(Application!$J$25="Case-by-Case","NA",Table2[[#This Row],[Fiscal Year of EPA Funds Used:]]+Table2[[#This Row],[Remaining Life:]]))</f>
        <v/>
      </c>
      <c r="AJ176" s="165"/>
      <c r="AK176" s="170" t="str">
        <f>IF(Table2[[#This Row],[Counter Number]]="","",Application!$D$14+1)</f>
        <v/>
      </c>
      <c r="AL176" s="60" t="str">
        <f>IF(Table2[[#This Row],[Counter Number]]="","","Vehicle Replacement")</f>
        <v/>
      </c>
      <c r="AM17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6" s="171" t="str">
        <f>IF(Table2[[#This Row],[Counter Number]]="","",Table1[[#This Row],[Cost of New Bus:]])</f>
        <v/>
      </c>
      <c r="AO176" s="60" t="str">
        <f>IF(Table2[[#This Row],[Counter Number]]="","","NA")</f>
        <v/>
      </c>
      <c r="AP176" s="165" t="str">
        <f>IF(Table2[[#This Row],[Counter Number]]="","",Table1[[#This Row],[New Engine Model Year:]])</f>
        <v/>
      </c>
      <c r="AQ176" s="60" t="str">
        <f>IF(Table2[[#This Row],[Counter Number]]="","","NA")</f>
        <v/>
      </c>
      <c r="AR176" s="165" t="str">
        <f>IF(Table2[[#This Row],[Counter Number]]="","",Table1[[#This Row],[New Engine Horsepower (HP):]])</f>
        <v/>
      </c>
      <c r="AS176" s="60" t="str">
        <f>IF(Table2[[#This Row],[Counter Number]]="","","NA")</f>
        <v/>
      </c>
      <c r="AT176" s="165" t="str">
        <f>IF(Table2[[#This Row],[Counter Number]]="","",Table1[[#This Row],[New Engine Cylinder Displacement (L):]]&amp;" L")</f>
        <v/>
      </c>
      <c r="AU176" s="114" t="str">
        <f>IF(Table2[[#This Row],[Counter Number]]="","",Table1[[#This Row],[New Engine Number of Cylinders:]])</f>
        <v/>
      </c>
      <c r="AV176" s="60" t="str">
        <f>IF(Table2[[#This Row],[Counter Number]]="","",Table1[[#This Row],[New Engine Family Name:]])</f>
        <v/>
      </c>
      <c r="AW17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6" s="60" t="str">
        <f>IF(Table2[[#This Row],[Counter Number]]="","","NA")</f>
        <v/>
      </c>
      <c r="AY176" s="172" t="str">
        <f>IF(Table2[[#This Row],[Counter Number]]="","",IF(Table2[[#This Row],[New Engine Fuel Type:]]="ULSD",Table1[[#This Row],[Annual Miles Traveled]]/Table1[[#This Row],[New Fuel (mpg) if Diesel]],""))</f>
        <v/>
      </c>
      <c r="AZ176" s="60"/>
      <c r="BA176" s="173" t="str">
        <f>IF(Table2[[#This Row],[Counter Number]]="","",Table2[[#This Row],[Annual Miles Traveled:]]*VLOOKUP(Table2[[#This Row],[Engine Model Year:]],EFTable[],3,FALSE))</f>
        <v/>
      </c>
      <c r="BB176" s="173" t="str">
        <f>IF(Table2[[#This Row],[Counter Number]]="","",Table2[[#This Row],[Annual Miles Traveled:]]*IF(Table2[[#This Row],[New Engine Fuel Type:]]="ULSD",VLOOKUP(Table2[[#This Row],[New Engine Model Year:]],EFTable[],3,FALSE),VLOOKUP(Table2[[#This Row],[New Engine Fuel Type:]],EFTable[],3,FALSE)))</f>
        <v/>
      </c>
      <c r="BC176" s="187" t="str">
        <f>IF(Table2[[#This Row],[Counter Number]]="","",Table2[[#This Row],[Old Bus NOx Emissions (tons/yr)]]-Table2[[#This Row],[New Bus NOx Emissions (tons/yr)]])</f>
        <v/>
      </c>
      <c r="BD176" s="188" t="str">
        <f>IF(Table2[[#This Row],[Counter Number]]="","",Table2[[#This Row],[Reduction Bus NOx Emissions (tons/yr)]]/Table2[[#This Row],[Old Bus NOx Emissions (tons/yr)]])</f>
        <v/>
      </c>
      <c r="BE176" s="175" t="str">
        <f>IF(Table2[[#This Row],[Counter Number]]="","",Table2[[#This Row],[Reduction Bus NOx Emissions (tons/yr)]]*Table2[[#This Row],[Remaining Life:]])</f>
        <v/>
      </c>
      <c r="BF176" s="189" t="str">
        <f>IF(Table2[[#This Row],[Counter Number]]="","",IF(Table2[[#This Row],[Lifetime NOx Reduction (tons)]]=0,"NA",Table2[[#This Row],[Upgrade Cost Per Unit]]/Table2[[#This Row],[Lifetime NOx Reduction (tons)]]))</f>
        <v/>
      </c>
      <c r="BG176" s="190" t="str">
        <f>IF(Table2[[#This Row],[Counter Number]]="","",Table2[[#This Row],[Annual Miles Traveled:]]*VLOOKUP(Table2[[#This Row],[Engine Model Year:]],EF!$A$2:$G$27,4,FALSE))</f>
        <v/>
      </c>
      <c r="BH176" s="173" t="str">
        <f>IF(Table2[[#This Row],[Counter Number]]="","",Table2[[#This Row],[Annual Miles Traveled:]]*IF(Table2[[#This Row],[New Engine Fuel Type:]]="ULSD",VLOOKUP(Table2[[#This Row],[New Engine Model Year:]],EFTable[],4,FALSE),VLOOKUP(Table2[[#This Row],[New Engine Fuel Type:]],EFTable[],4,FALSE)))</f>
        <v/>
      </c>
      <c r="BI176" s="191" t="str">
        <f>IF(Table2[[#This Row],[Counter Number]]="","",Table2[[#This Row],[Old Bus PM2.5 Emissions (tons/yr)]]-Table2[[#This Row],[New Bus PM2.5 Emissions (tons/yr)]])</f>
        <v/>
      </c>
      <c r="BJ176" s="192" t="str">
        <f>IF(Table2[[#This Row],[Counter Number]]="","",Table2[[#This Row],[Reduction Bus PM2.5 Emissions (tons/yr)]]/Table2[[#This Row],[Old Bus PM2.5 Emissions (tons/yr)]])</f>
        <v/>
      </c>
      <c r="BK176" s="193" t="str">
        <f>IF(Table2[[#This Row],[Counter Number]]="","",Table2[[#This Row],[Reduction Bus PM2.5 Emissions (tons/yr)]]*Table2[[#This Row],[Remaining Life:]])</f>
        <v/>
      </c>
      <c r="BL176" s="194" t="str">
        <f>IF(Table2[[#This Row],[Counter Number]]="","",IF(Table2[[#This Row],[Lifetime PM2.5 Reduction (tons)]]=0,"NA",Table2[[#This Row],[Upgrade Cost Per Unit]]/Table2[[#This Row],[Lifetime PM2.5 Reduction (tons)]]))</f>
        <v/>
      </c>
      <c r="BM176" s="179" t="str">
        <f>IF(Table2[[#This Row],[Counter Number]]="","",Table2[[#This Row],[Annual Miles Traveled:]]*VLOOKUP(Table2[[#This Row],[Engine Model Year:]],EF!$A$2:$G$40,5,FALSE))</f>
        <v/>
      </c>
      <c r="BN176" s="173" t="str">
        <f>IF(Table2[[#This Row],[Counter Number]]="","",Table2[[#This Row],[Annual Miles Traveled:]]*IF(Table2[[#This Row],[New Engine Fuel Type:]]="ULSD",VLOOKUP(Table2[[#This Row],[New Engine Model Year:]],EFTable[],5,FALSE),VLOOKUP(Table2[[#This Row],[New Engine Fuel Type:]],EFTable[],5,FALSE)))</f>
        <v/>
      </c>
      <c r="BO176" s="190" t="str">
        <f>IF(Table2[[#This Row],[Counter Number]]="","",Table2[[#This Row],[Old Bus HC Emissions (tons/yr)]]-Table2[[#This Row],[New Bus HC Emissions (tons/yr)]])</f>
        <v/>
      </c>
      <c r="BP176" s="188" t="str">
        <f>IF(Table2[[#This Row],[Counter Number]]="","",Table2[[#This Row],[Reduction Bus HC Emissions (tons/yr)]]/Table2[[#This Row],[Old Bus HC Emissions (tons/yr)]])</f>
        <v/>
      </c>
      <c r="BQ176" s="193" t="str">
        <f>IF(Table2[[#This Row],[Counter Number]]="","",Table2[[#This Row],[Reduction Bus HC Emissions (tons/yr)]]*Table2[[#This Row],[Remaining Life:]])</f>
        <v/>
      </c>
      <c r="BR176" s="194" t="str">
        <f>IF(Table2[[#This Row],[Counter Number]]="","",IF(Table2[[#This Row],[Lifetime HC Reduction (tons)]]=0,"NA",Table2[[#This Row],[Upgrade Cost Per Unit]]/Table2[[#This Row],[Lifetime HC Reduction (tons)]]))</f>
        <v/>
      </c>
      <c r="BS176" s="191" t="str">
        <f>IF(Table2[[#This Row],[Counter Number]]="","",Table2[[#This Row],[Annual Miles Traveled:]]*VLOOKUP(Table2[[#This Row],[Engine Model Year:]],EF!$A$2:$G$27,6,FALSE))</f>
        <v/>
      </c>
      <c r="BT176" s="173" t="str">
        <f>IF(Table2[[#This Row],[Counter Number]]="","",Table2[[#This Row],[Annual Miles Traveled:]]*IF(Table2[[#This Row],[New Engine Fuel Type:]]="ULSD",VLOOKUP(Table2[[#This Row],[New Engine Model Year:]],EFTable[],6,FALSE),VLOOKUP(Table2[[#This Row],[New Engine Fuel Type:]],EFTable[],6,FALSE)))</f>
        <v/>
      </c>
      <c r="BU176" s="190" t="str">
        <f>IF(Table2[[#This Row],[Counter Number]]="","",Table2[[#This Row],[Old Bus CO Emissions (tons/yr)]]-Table2[[#This Row],[New Bus CO Emissions (tons/yr)]])</f>
        <v/>
      </c>
      <c r="BV176" s="188" t="str">
        <f>IF(Table2[[#This Row],[Counter Number]]="","",Table2[[#This Row],[Reduction Bus CO Emissions (tons/yr)]]/Table2[[#This Row],[Old Bus CO Emissions (tons/yr)]])</f>
        <v/>
      </c>
      <c r="BW176" s="193" t="str">
        <f>IF(Table2[[#This Row],[Counter Number]]="","",Table2[[#This Row],[Reduction Bus CO Emissions (tons/yr)]]*Table2[[#This Row],[Remaining Life:]])</f>
        <v/>
      </c>
      <c r="BX176" s="194" t="str">
        <f>IF(Table2[[#This Row],[Counter Number]]="","",IF(Table2[[#This Row],[Lifetime CO Reduction (tons)]]=0,"NA",Table2[[#This Row],[Upgrade Cost Per Unit]]/Table2[[#This Row],[Lifetime CO Reduction (tons)]]))</f>
        <v/>
      </c>
      <c r="BY176" s="180" t="str">
        <f>IF(Table2[[#This Row],[Counter Number]]="","",Table2[[#This Row],[Old ULSD Used (gal):]]*VLOOKUP(Table2[[#This Row],[Engine Model Year:]],EF!$A$2:$G$27,7,FALSE))</f>
        <v/>
      </c>
      <c r="BZ17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6" s="195" t="str">
        <f>IF(Table2[[#This Row],[Counter Number]]="","",Table2[[#This Row],[Old Bus CO2 Emissions (tons/yr)]]-Table2[[#This Row],[New Bus CO2 Emissions (tons/yr)]])</f>
        <v/>
      </c>
      <c r="CB176" s="188" t="str">
        <f>IF(Table2[[#This Row],[Counter Number]]="","",Table2[[#This Row],[Reduction Bus CO2 Emissions (tons/yr)]]/Table2[[#This Row],[Old Bus CO2 Emissions (tons/yr)]])</f>
        <v/>
      </c>
      <c r="CC176" s="195" t="str">
        <f>IF(Table2[[#This Row],[Counter Number]]="","",Table2[[#This Row],[Reduction Bus CO2 Emissions (tons/yr)]]*Table2[[#This Row],[Remaining Life:]])</f>
        <v/>
      </c>
      <c r="CD176" s="194" t="str">
        <f>IF(Table2[[#This Row],[Counter Number]]="","",IF(Table2[[#This Row],[Lifetime CO2 Reduction (tons)]]=0,"NA",Table2[[#This Row],[Upgrade Cost Per Unit]]/Table2[[#This Row],[Lifetime CO2 Reduction (tons)]]))</f>
        <v/>
      </c>
      <c r="CE176" s="182" t="str">
        <f>IF(Table2[[#This Row],[Counter Number]]="","",IF(Table2[[#This Row],[New ULSD Used (gal):]]="",Table2[[#This Row],[Old ULSD Used (gal):]],Table2[[#This Row],[Old ULSD Used (gal):]]-Table2[[#This Row],[New ULSD Used (gal):]]))</f>
        <v/>
      </c>
      <c r="CF176" s="196" t="str">
        <f>IF(Table2[[#This Row],[Counter Number]]="","",Table2[[#This Row],[Diesel Fuel Reduction (gal/yr)]]/Table2[[#This Row],[Old ULSD Used (gal):]])</f>
        <v/>
      </c>
      <c r="CG176" s="197" t="str">
        <f>IF(Table2[[#This Row],[Counter Number]]="","",Table2[[#This Row],[Diesel Fuel Reduction (gal/yr)]]*Table2[[#This Row],[Remaining Life:]])</f>
        <v/>
      </c>
    </row>
    <row r="177" spans="1:85">
      <c r="A177" s="184" t="str">
        <f>IF(A111&lt;Application!$D$24,A111+1,"")</f>
        <v/>
      </c>
      <c r="B177" s="60" t="str">
        <f>IF(Table2[[#This Row],[Counter Number]]="","",Application!$D$16)</f>
        <v/>
      </c>
      <c r="C177" s="60" t="str">
        <f>IF(Table2[[#This Row],[Counter Number]]="","",Application!$D$14)</f>
        <v/>
      </c>
      <c r="D177" s="60" t="str">
        <f>IF(Table2[[#This Row],[Counter Number]]="","",Table1[[#This Row],[Old Bus Number]])</f>
        <v/>
      </c>
      <c r="E177" s="60" t="str">
        <f>IF(Table2[[#This Row],[Counter Number]]="","",Application!$D$15)</f>
        <v/>
      </c>
      <c r="F177" s="60" t="str">
        <f>IF(Table2[[#This Row],[Counter Number]]="","","On Highway")</f>
        <v/>
      </c>
      <c r="G177" s="60" t="str">
        <f>IF(Table2[[#This Row],[Counter Number]]="","",I177)</f>
        <v/>
      </c>
      <c r="H177" s="60" t="str">
        <f>IF(Table2[[#This Row],[Counter Number]]="","","Georgia")</f>
        <v/>
      </c>
      <c r="I177" s="60" t="str">
        <f>IF(Table2[[#This Row],[Counter Number]]="","",Application!$D$16)</f>
        <v/>
      </c>
      <c r="J177" s="60" t="str">
        <f>IF(Table2[[#This Row],[Counter Number]]="","",Application!$D$21)</f>
        <v/>
      </c>
      <c r="K177" s="60" t="str">
        <f>IF(Table2[[#This Row],[Counter Number]]="","",Application!$J$21)</f>
        <v/>
      </c>
      <c r="L177" s="60" t="str">
        <f>IF(Table2[[#This Row],[Counter Number]]="","","School Bus")</f>
        <v/>
      </c>
      <c r="M177" s="60" t="str">
        <f>IF(Table2[[#This Row],[Counter Number]]="","","School Bus")</f>
        <v/>
      </c>
      <c r="N177" s="60" t="str">
        <f>IF(Table2[[#This Row],[Counter Number]]="","",1)</f>
        <v/>
      </c>
      <c r="O177" s="60" t="str">
        <f>IF(Table2[[#This Row],[Counter Number]]="","",Table1[[#This Row],[Vehicle Identification Number(s):]])</f>
        <v/>
      </c>
      <c r="P177" s="60" t="str">
        <f>IF(Table2[[#This Row],[Counter Number]]="","",Table1[[#This Row],[Old Bus Manufacturer:]])</f>
        <v/>
      </c>
      <c r="Q177" s="60" t="str">
        <f>IF(Table2[[#This Row],[Counter Number]]="","",Table1[[#This Row],[Vehicle Model:]])</f>
        <v/>
      </c>
      <c r="R177" s="165" t="str">
        <f>IF(Table2[[#This Row],[Counter Number]]="","",Table1[[#This Row],[Vehicle Model Year:]])</f>
        <v/>
      </c>
      <c r="S177" s="60" t="str">
        <f>IF(Table2[[#This Row],[Counter Number]]="","",Table1[[#This Row],[Engine Serial Number(s):]])</f>
        <v/>
      </c>
      <c r="T177" s="60" t="str">
        <f>IF(Table2[[#This Row],[Counter Number]]="","",Table1[[#This Row],[Engine Make:]])</f>
        <v/>
      </c>
      <c r="U177" s="60" t="str">
        <f>IF(Table2[[#This Row],[Counter Number]]="","",Table1[[#This Row],[Engine Model:]])</f>
        <v/>
      </c>
      <c r="V177" s="165" t="str">
        <f>IF(Table2[[#This Row],[Counter Number]]="","",Table1[[#This Row],[Engine Model Year:]])</f>
        <v/>
      </c>
      <c r="W177" s="60" t="str">
        <f>IF(Table2[[#This Row],[Counter Number]]="","","NA")</f>
        <v/>
      </c>
      <c r="X177" s="165" t="str">
        <f>IF(Table2[[#This Row],[Counter Number]]="","",Table1[[#This Row],[Engine Horsepower (HP):]])</f>
        <v/>
      </c>
      <c r="Y177" s="165" t="str">
        <f>IF(Table2[[#This Row],[Counter Number]]="","",Table1[[#This Row],[Engine Cylinder Displacement (L):]]&amp;" L")</f>
        <v/>
      </c>
      <c r="Z177" s="165" t="str">
        <f>IF(Table2[[#This Row],[Counter Number]]="","",Table1[[#This Row],[Engine Number of Cylinders:]])</f>
        <v/>
      </c>
      <c r="AA177" s="166" t="str">
        <f>IF(Table2[[#This Row],[Counter Number]]="","",Table1[[#This Row],[Engine Family Name:]])</f>
        <v/>
      </c>
      <c r="AB177" s="60" t="str">
        <f>IF(Table2[[#This Row],[Counter Number]]="","","ULSD")</f>
        <v/>
      </c>
      <c r="AC177" s="167" t="str">
        <f>IF(Table2[[#This Row],[Counter Number]]="","",Table2[[#This Row],[Annual Miles Traveled:]]/Table1[[#This Row],[Old Fuel (mpg)]])</f>
        <v/>
      </c>
      <c r="AD177" s="60" t="str">
        <f>IF(Table2[[#This Row],[Counter Number]]="","","NA")</f>
        <v/>
      </c>
      <c r="AE177" s="168" t="str">
        <f>IF(Table2[[#This Row],[Counter Number]]="","",Table1[[#This Row],[Annual Miles Traveled]])</f>
        <v/>
      </c>
      <c r="AF177" s="169" t="str">
        <f>IF(Table2[[#This Row],[Counter Number]]="","",Table1[[#This Row],[Annual Idling Hours:]])</f>
        <v/>
      </c>
      <c r="AG177" s="60" t="str">
        <f>IF(Table2[[#This Row],[Counter Number]]="","","NA")</f>
        <v/>
      </c>
      <c r="AH177" s="165" t="str">
        <f>IF(Table2[[#This Row],[Counter Number]]="","",IF(Application!$J$25="Set Policy",Table1[[#This Row],[Remaining Life (years)         Set Policy]],Table1[[#This Row],[Remaining Life (years)               Case-by-Case]]))</f>
        <v/>
      </c>
      <c r="AI177" s="165" t="str">
        <f>IF(Table2[[#This Row],[Counter Number]]="","",IF(Application!$J$25="Case-by-Case","NA",Table2[[#This Row],[Fiscal Year of EPA Funds Used:]]+Table2[[#This Row],[Remaining Life:]]))</f>
        <v/>
      </c>
      <c r="AJ177" s="165"/>
      <c r="AK177" s="170" t="str">
        <f>IF(Table2[[#This Row],[Counter Number]]="","",Application!$D$14+1)</f>
        <v/>
      </c>
      <c r="AL177" s="60" t="str">
        <f>IF(Table2[[#This Row],[Counter Number]]="","","Vehicle Replacement")</f>
        <v/>
      </c>
      <c r="AM17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7" s="171" t="str">
        <f>IF(Table2[[#This Row],[Counter Number]]="","",Table1[[#This Row],[Cost of New Bus:]])</f>
        <v/>
      </c>
      <c r="AO177" s="60" t="str">
        <f>IF(Table2[[#This Row],[Counter Number]]="","","NA")</f>
        <v/>
      </c>
      <c r="AP177" s="165" t="str">
        <f>IF(Table2[[#This Row],[Counter Number]]="","",Table1[[#This Row],[New Engine Model Year:]])</f>
        <v/>
      </c>
      <c r="AQ177" s="60" t="str">
        <f>IF(Table2[[#This Row],[Counter Number]]="","","NA")</f>
        <v/>
      </c>
      <c r="AR177" s="165" t="str">
        <f>IF(Table2[[#This Row],[Counter Number]]="","",Table1[[#This Row],[New Engine Horsepower (HP):]])</f>
        <v/>
      </c>
      <c r="AS177" s="60" t="str">
        <f>IF(Table2[[#This Row],[Counter Number]]="","","NA")</f>
        <v/>
      </c>
      <c r="AT177" s="165" t="str">
        <f>IF(Table2[[#This Row],[Counter Number]]="","",Table1[[#This Row],[New Engine Cylinder Displacement (L):]]&amp;" L")</f>
        <v/>
      </c>
      <c r="AU177" s="114" t="str">
        <f>IF(Table2[[#This Row],[Counter Number]]="","",Table1[[#This Row],[New Engine Number of Cylinders:]])</f>
        <v/>
      </c>
      <c r="AV177" s="60" t="str">
        <f>IF(Table2[[#This Row],[Counter Number]]="","",Table1[[#This Row],[New Engine Family Name:]])</f>
        <v/>
      </c>
      <c r="AW17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7" s="60" t="str">
        <f>IF(Table2[[#This Row],[Counter Number]]="","","NA")</f>
        <v/>
      </c>
      <c r="AY177" s="172" t="str">
        <f>IF(Table2[[#This Row],[Counter Number]]="","",IF(Table2[[#This Row],[New Engine Fuel Type:]]="ULSD",Table1[[#This Row],[Annual Miles Traveled]]/Table1[[#This Row],[New Fuel (mpg) if Diesel]],""))</f>
        <v/>
      </c>
      <c r="AZ177" s="60"/>
      <c r="BA177" s="173" t="str">
        <f>IF(Table2[[#This Row],[Counter Number]]="","",Table2[[#This Row],[Annual Miles Traveled:]]*VLOOKUP(Table2[[#This Row],[Engine Model Year:]],EFTable[],3,FALSE))</f>
        <v/>
      </c>
      <c r="BB177" s="173" t="str">
        <f>IF(Table2[[#This Row],[Counter Number]]="","",Table2[[#This Row],[Annual Miles Traveled:]]*IF(Table2[[#This Row],[New Engine Fuel Type:]]="ULSD",VLOOKUP(Table2[[#This Row],[New Engine Model Year:]],EFTable[],3,FALSE),VLOOKUP(Table2[[#This Row],[New Engine Fuel Type:]],EFTable[],3,FALSE)))</f>
        <v/>
      </c>
      <c r="BC177" s="187" t="str">
        <f>IF(Table2[[#This Row],[Counter Number]]="","",Table2[[#This Row],[Old Bus NOx Emissions (tons/yr)]]-Table2[[#This Row],[New Bus NOx Emissions (tons/yr)]])</f>
        <v/>
      </c>
      <c r="BD177" s="188" t="str">
        <f>IF(Table2[[#This Row],[Counter Number]]="","",Table2[[#This Row],[Reduction Bus NOx Emissions (tons/yr)]]/Table2[[#This Row],[Old Bus NOx Emissions (tons/yr)]])</f>
        <v/>
      </c>
      <c r="BE177" s="175" t="str">
        <f>IF(Table2[[#This Row],[Counter Number]]="","",Table2[[#This Row],[Reduction Bus NOx Emissions (tons/yr)]]*Table2[[#This Row],[Remaining Life:]])</f>
        <v/>
      </c>
      <c r="BF177" s="189" t="str">
        <f>IF(Table2[[#This Row],[Counter Number]]="","",IF(Table2[[#This Row],[Lifetime NOx Reduction (tons)]]=0,"NA",Table2[[#This Row],[Upgrade Cost Per Unit]]/Table2[[#This Row],[Lifetime NOx Reduction (tons)]]))</f>
        <v/>
      </c>
      <c r="BG177" s="190" t="str">
        <f>IF(Table2[[#This Row],[Counter Number]]="","",Table2[[#This Row],[Annual Miles Traveled:]]*VLOOKUP(Table2[[#This Row],[Engine Model Year:]],EF!$A$2:$G$27,4,FALSE))</f>
        <v/>
      </c>
      <c r="BH177" s="173" t="str">
        <f>IF(Table2[[#This Row],[Counter Number]]="","",Table2[[#This Row],[Annual Miles Traveled:]]*IF(Table2[[#This Row],[New Engine Fuel Type:]]="ULSD",VLOOKUP(Table2[[#This Row],[New Engine Model Year:]],EFTable[],4,FALSE),VLOOKUP(Table2[[#This Row],[New Engine Fuel Type:]],EFTable[],4,FALSE)))</f>
        <v/>
      </c>
      <c r="BI177" s="191" t="str">
        <f>IF(Table2[[#This Row],[Counter Number]]="","",Table2[[#This Row],[Old Bus PM2.5 Emissions (tons/yr)]]-Table2[[#This Row],[New Bus PM2.5 Emissions (tons/yr)]])</f>
        <v/>
      </c>
      <c r="BJ177" s="192" t="str">
        <f>IF(Table2[[#This Row],[Counter Number]]="","",Table2[[#This Row],[Reduction Bus PM2.5 Emissions (tons/yr)]]/Table2[[#This Row],[Old Bus PM2.5 Emissions (tons/yr)]])</f>
        <v/>
      </c>
      <c r="BK177" s="193" t="str">
        <f>IF(Table2[[#This Row],[Counter Number]]="","",Table2[[#This Row],[Reduction Bus PM2.5 Emissions (tons/yr)]]*Table2[[#This Row],[Remaining Life:]])</f>
        <v/>
      </c>
      <c r="BL177" s="194" t="str">
        <f>IF(Table2[[#This Row],[Counter Number]]="","",IF(Table2[[#This Row],[Lifetime PM2.5 Reduction (tons)]]=0,"NA",Table2[[#This Row],[Upgrade Cost Per Unit]]/Table2[[#This Row],[Lifetime PM2.5 Reduction (tons)]]))</f>
        <v/>
      </c>
      <c r="BM177" s="179" t="str">
        <f>IF(Table2[[#This Row],[Counter Number]]="","",Table2[[#This Row],[Annual Miles Traveled:]]*VLOOKUP(Table2[[#This Row],[Engine Model Year:]],EF!$A$2:$G$40,5,FALSE))</f>
        <v/>
      </c>
      <c r="BN177" s="173" t="str">
        <f>IF(Table2[[#This Row],[Counter Number]]="","",Table2[[#This Row],[Annual Miles Traveled:]]*IF(Table2[[#This Row],[New Engine Fuel Type:]]="ULSD",VLOOKUP(Table2[[#This Row],[New Engine Model Year:]],EFTable[],5,FALSE),VLOOKUP(Table2[[#This Row],[New Engine Fuel Type:]],EFTable[],5,FALSE)))</f>
        <v/>
      </c>
      <c r="BO177" s="190" t="str">
        <f>IF(Table2[[#This Row],[Counter Number]]="","",Table2[[#This Row],[Old Bus HC Emissions (tons/yr)]]-Table2[[#This Row],[New Bus HC Emissions (tons/yr)]])</f>
        <v/>
      </c>
      <c r="BP177" s="188" t="str">
        <f>IF(Table2[[#This Row],[Counter Number]]="","",Table2[[#This Row],[Reduction Bus HC Emissions (tons/yr)]]/Table2[[#This Row],[Old Bus HC Emissions (tons/yr)]])</f>
        <v/>
      </c>
      <c r="BQ177" s="193" t="str">
        <f>IF(Table2[[#This Row],[Counter Number]]="","",Table2[[#This Row],[Reduction Bus HC Emissions (tons/yr)]]*Table2[[#This Row],[Remaining Life:]])</f>
        <v/>
      </c>
      <c r="BR177" s="194" t="str">
        <f>IF(Table2[[#This Row],[Counter Number]]="","",IF(Table2[[#This Row],[Lifetime HC Reduction (tons)]]=0,"NA",Table2[[#This Row],[Upgrade Cost Per Unit]]/Table2[[#This Row],[Lifetime HC Reduction (tons)]]))</f>
        <v/>
      </c>
      <c r="BS177" s="191" t="str">
        <f>IF(Table2[[#This Row],[Counter Number]]="","",Table2[[#This Row],[Annual Miles Traveled:]]*VLOOKUP(Table2[[#This Row],[Engine Model Year:]],EF!$A$2:$G$27,6,FALSE))</f>
        <v/>
      </c>
      <c r="BT177" s="173" t="str">
        <f>IF(Table2[[#This Row],[Counter Number]]="","",Table2[[#This Row],[Annual Miles Traveled:]]*IF(Table2[[#This Row],[New Engine Fuel Type:]]="ULSD",VLOOKUP(Table2[[#This Row],[New Engine Model Year:]],EFTable[],6,FALSE),VLOOKUP(Table2[[#This Row],[New Engine Fuel Type:]],EFTable[],6,FALSE)))</f>
        <v/>
      </c>
      <c r="BU177" s="190" t="str">
        <f>IF(Table2[[#This Row],[Counter Number]]="","",Table2[[#This Row],[Old Bus CO Emissions (tons/yr)]]-Table2[[#This Row],[New Bus CO Emissions (tons/yr)]])</f>
        <v/>
      </c>
      <c r="BV177" s="188" t="str">
        <f>IF(Table2[[#This Row],[Counter Number]]="","",Table2[[#This Row],[Reduction Bus CO Emissions (tons/yr)]]/Table2[[#This Row],[Old Bus CO Emissions (tons/yr)]])</f>
        <v/>
      </c>
      <c r="BW177" s="193" t="str">
        <f>IF(Table2[[#This Row],[Counter Number]]="","",Table2[[#This Row],[Reduction Bus CO Emissions (tons/yr)]]*Table2[[#This Row],[Remaining Life:]])</f>
        <v/>
      </c>
      <c r="BX177" s="194" t="str">
        <f>IF(Table2[[#This Row],[Counter Number]]="","",IF(Table2[[#This Row],[Lifetime CO Reduction (tons)]]=0,"NA",Table2[[#This Row],[Upgrade Cost Per Unit]]/Table2[[#This Row],[Lifetime CO Reduction (tons)]]))</f>
        <v/>
      </c>
      <c r="BY177" s="180" t="str">
        <f>IF(Table2[[#This Row],[Counter Number]]="","",Table2[[#This Row],[Old ULSD Used (gal):]]*VLOOKUP(Table2[[#This Row],[Engine Model Year:]],EF!$A$2:$G$27,7,FALSE))</f>
        <v/>
      </c>
      <c r="BZ17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7" s="195" t="str">
        <f>IF(Table2[[#This Row],[Counter Number]]="","",Table2[[#This Row],[Old Bus CO2 Emissions (tons/yr)]]-Table2[[#This Row],[New Bus CO2 Emissions (tons/yr)]])</f>
        <v/>
      </c>
      <c r="CB177" s="188" t="str">
        <f>IF(Table2[[#This Row],[Counter Number]]="","",Table2[[#This Row],[Reduction Bus CO2 Emissions (tons/yr)]]/Table2[[#This Row],[Old Bus CO2 Emissions (tons/yr)]])</f>
        <v/>
      </c>
      <c r="CC177" s="195" t="str">
        <f>IF(Table2[[#This Row],[Counter Number]]="","",Table2[[#This Row],[Reduction Bus CO2 Emissions (tons/yr)]]*Table2[[#This Row],[Remaining Life:]])</f>
        <v/>
      </c>
      <c r="CD177" s="194" t="str">
        <f>IF(Table2[[#This Row],[Counter Number]]="","",IF(Table2[[#This Row],[Lifetime CO2 Reduction (tons)]]=0,"NA",Table2[[#This Row],[Upgrade Cost Per Unit]]/Table2[[#This Row],[Lifetime CO2 Reduction (tons)]]))</f>
        <v/>
      </c>
      <c r="CE177" s="182" t="str">
        <f>IF(Table2[[#This Row],[Counter Number]]="","",IF(Table2[[#This Row],[New ULSD Used (gal):]]="",Table2[[#This Row],[Old ULSD Used (gal):]],Table2[[#This Row],[Old ULSD Used (gal):]]-Table2[[#This Row],[New ULSD Used (gal):]]))</f>
        <v/>
      </c>
      <c r="CF177" s="196" t="str">
        <f>IF(Table2[[#This Row],[Counter Number]]="","",Table2[[#This Row],[Diesel Fuel Reduction (gal/yr)]]/Table2[[#This Row],[Old ULSD Used (gal):]])</f>
        <v/>
      </c>
      <c r="CG177" s="197" t="str">
        <f>IF(Table2[[#This Row],[Counter Number]]="","",Table2[[#This Row],[Diesel Fuel Reduction (gal/yr)]]*Table2[[#This Row],[Remaining Life:]])</f>
        <v/>
      </c>
    </row>
    <row r="178" spans="1:85">
      <c r="A178" s="184" t="str">
        <f>IF(A112&lt;Application!$D$24,A112+1,"")</f>
        <v/>
      </c>
      <c r="B178" s="60" t="str">
        <f>IF(Table2[[#This Row],[Counter Number]]="","",Application!$D$16)</f>
        <v/>
      </c>
      <c r="C178" s="60" t="str">
        <f>IF(Table2[[#This Row],[Counter Number]]="","",Application!$D$14)</f>
        <v/>
      </c>
      <c r="D178" s="60" t="str">
        <f>IF(Table2[[#This Row],[Counter Number]]="","",Table1[[#This Row],[Old Bus Number]])</f>
        <v/>
      </c>
      <c r="E178" s="60" t="str">
        <f>IF(Table2[[#This Row],[Counter Number]]="","",Application!$D$15)</f>
        <v/>
      </c>
      <c r="F178" s="60" t="str">
        <f>IF(Table2[[#This Row],[Counter Number]]="","","On Highway")</f>
        <v/>
      </c>
      <c r="G178" s="60" t="str">
        <f>IF(Table2[[#This Row],[Counter Number]]="","",I178)</f>
        <v/>
      </c>
      <c r="H178" s="60" t="str">
        <f>IF(Table2[[#This Row],[Counter Number]]="","","Georgia")</f>
        <v/>
      </c>
      <c r="I178" s="60" t="str">
        <f>IF(Table2[[#This Row],[Counter Number]]="","",Application!$D$16)</f>
        <v/>
      </c>
      <c r="J178" s="60" t="str">
        <f>IF(Table2[[#This Row],[Counter Number]]="","",Application!$D$21)</f>
        <v/>
      </c>
      <c r="K178" s="60" t="str">
        <f>IF(Table2[[#This Row],[Counter Number]]="","",Application!$J$21)</f>
        <v/>
      </c>
      <c r="L178" s="60" t="str">
        <f>IF(Table2[[#This Row],[Counter Number]]="","","School Bus")</f>
        <v/>
      </c>
      <c r="M178" s="60" t="str">
        <f>IF(Table2[[#This Row],[Counter Number]]="","","School Bus")</f>
        <v/>
      </c>
      <c r="N178" s="60" t="str">
        <f>IF(Table2[[#This Row],[Counter Number]]="","",1)</f>
        <v/>
      </c>
      <c r="O178" s="60" t="str">
        <f>IF(Table2[[#This Row],[Counter Number]]="","",Table1[[#This Row],[Vehicle Identification Number(s):]])</f>
        <v/>
      </c>
      <c r="P178" s="60" t="str">
        <f>IF(Table2[[#This Row],[Counter Number]]="","",Table1[[#This Row],[Old Bus Manufacturer:]])</f>
        <v/>
      </c>
      <c r="Q178" s="60" t="str">
        <f>IF(Table2[[#This Row],[Counter Number]]="","",Table1[[#This Row],[Vehicle Model:]])</f>
        <v/>
      </c>
      <c r="R178" s="165" t="str">
        <f>IF(Table2[[#This Row],[Counter Number]]="","",Table1[[#This Row],[Vehicle Model Year:]])</f>
        <v/>
      </c>
      <c r="S178" s="60" t="str">
        <f>IF(Table2[[#This Row],[Counter Number]]="","",Table1[[#This Row],[Engine Serial Number(s):]])</f>
        <v/>
      </c>
      <c r="T178" s="60" t="str">
        <f>IF(Table2[[#This Row],[Counter Number]]="","",Table1[[#This Row],[Engine Make:]])</f>
        <v/>
      </c>
      <c r="U178" s="60" t="str">
        <f>IF(Table2[[#This Row],[Counter Number]]="","",Table1[[#This Row],[Engine Model:]])</f>
        <v/>
      </c>
      <c r="V178" s="165" t="str">
        <f>IF(Table2[[#This Row],[Counter Number]]="","",Table1[[#This Row],[Engine Model Year:]])</f>
        <v/>
      </c>
      <c r="W178" s="60" t="str">
        <f>IF(Table2[[#This Row],[Counter Number]]="","","NA")</f>
        <v/>
      </c>
      <c r="X178" s="165" t="str">
        <f>IF(Table2[[#This Row],[Counter Number]]="","",Table1[[#This Row],[Engine Horsepower (HP):]])</f>
        <v/>
      </c>
      <c r="Y178" s="165" t="str">
        <f>IF(Table2[[#This Row],[Counter Number]]="","",Table1[[#This Row],[Engine Cylinder Displacement (L):]]&amp;" L")</f>
        <v/>
      </c>
      <c r="Z178" s="165" t="str">
        <f>IF(Table2[[#This Row],[Counter Number]]="","",Table1[[#This Row],[Engine Number of Cylinders:]])</f>
        <v/>
      </c>
      <c r="AA178" s="166" t="str">
        <f>IF(Table2[[#This Row],[Counter Number]]="","",Table1[[#This Row],[Engine Family Name:]])</f>
        <v/>
      </c>
      <c r="AB178" s="60" t="str">
        <f>IF(Table2[[#This Row],[Counter Number]]="","","ULSD")</f>
        <v/>
      </c>
      <c r="AC178" s="167" t="str">
        <f>IF(Table2[[#This Row],[Counter Number]]="","",Table2[[#This Row],[Annual Miles Traveled:]]/Table1[[#This Row],[Old Fuel (mpg)]])</f>
        <v/>
      </c>
      <c r="AD178" s="60" t="str">
        <f>IF(Table2[[#This Row],[Counter Number]]="","","NA")</f>
        <v/>
      </c>
      <c r="AE178" s="168" t="str">
        <f>IF(Table2[[#This Row],[Counter Number]]="","",Table1[[#This Row],[Annual Miles Traveled]])</f>
        <v/>
      </c>
      <c r="AF178" s="169" t="str">
        <f>IF(Table2[[#This Row],[Counter Number]]="","",Table1[[#This Row],[Annual Idling Hours:]])</f>
        <v/>
      </c>
      <c r="AG178" s="60" t="str">
        <f>IF(Table2[[#This Row],[Counter Number]]="","","NA")</f>
        <v/>
      </c>
      <c r="AH178" s="165" t="str">
        <f>IF(Table2[[#This Row],[Counter Number]]="","",IF(Application!$J$25="Set Policy",Table1[[#This Row],[Remaining Life (years)         Set Policy]],Table1[[#This Row],[Remaining Life (years)               Case-by-Case]]))</f>
        <v/>
      </c>
      <c r="AI178" s="165" t="str">
        <f>IF(Table2[[#This Row],[Counter Number]]="","",IF(Application!$J$25="Case-by-Case","NA",Table2[[#This Row],[Fiscal Year of EPA Funds Used:]]+Table2[[#This Row],[Remaining Life:]]))</f>
        <v/>
      </c>
      <c r="AJ178" s="165"/>
      <c r="AK178" s="170" t="str">
        <f>IF(Table2[[#This Row],[Counter Number]]="","",Application!$D$14+1)</f>
        <v/>
      </c>
      <c r="AL178" s="60" t="str">
        <f>IF(Table2[[#This Row],[Counter Number]]="","","Vehicle Replacement")</f>
        <v/>
      </c>
      <c r="AM17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8" s="171" t="str">
        <f>IF(Table2[[#This Row],[Counter Number]]="","",Table1[[#This Row],[Cost of New Bus:]])</f>
        <v/>
      </c>
      <c r="AO178" s="60" t="str">
        <f>IF(Table2[[#This Row],[Counter Number]]="","","NA")</f>
        <v/>
      </c>
      <c r="AP178" s="165" t="str">
        <f>IF(Table2[[#This Row],[Counter Number]]="","",Table1[[#This Row],[New Engine Model Year:]])</f>
        <v/>
      </c>
      <c r="AQ178" s="60" t="str">
        <f>IF(Table2[[#This Row],[Counter Number]]="","","NA")</f>
        <v/>
      </c>
      <c r="AR178" s="165" t="str">
        <f>IF(Table2[[#This Row],[Counter Number]]="","",Table1[[#This Row],[New Engine Horsepower (HP):]])</f>
        <v/>
      </c>
      <c r="AS178" s="60" t="str">
        <f>IF(Table2[[#This Row],[Counter Number]]="","","NA")</f>
        <v/>
      </c>
      <c r="AT178" s="165" t="str">
        <f>IF(Table2[[#This Row],[Counter Number]]="","",Table1[[#This Row],[New Engine Cylinder Displacement (L):]]&amp;" L")</f>
        <v/>
      </c>
      <c r="AU178" s="114" t="str">
        <f>IF(Table2[[#This Row],[Counter Number]]="","",Table1[[#This Row],[New Engine Number of Cylinders:]])</f>
        <v/>
      </c>
      <c r="AV178" s="60" t="str">
        <f>IF(Table2[[#This Row],[Counter Number]]="","",Table1[[#This Row],[New Engine Family Name:]])</f>
        <v/>
      </c>
      <c r="AW17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8" s="60" t="str">
        <f>IF(Table2[[#This Row],[Counter Number]]="","","NA")</f>
        <v/>
      </c>
      <c r="AY178" s="172" t="str">
        <f>IF(Table2[[#This Row],[Counter Number]]="","",IF(Table2[[#This Row],[New Engine Fuel Type:]]="ULSD",Table1[[#This Row],[Annual Miles Traveled]]/Table1[[#This Row],[New Fuel (mpg) if Diesel]],""))</f>
        <v/>
      </c>
      <c r="AZ178" s="60"/>
      <c r="BA178" s="173" t="str">
        <f>IF(Table2[[#This Row],[Counter Number]]="","",Table2[[#This Row],[Annual Miles Traveled:]]*VLOOKUP(Table2[[#This Row],[Engine Model Year:]],EFTable[],3,FALSE))</f>
        <v/>
      </c>
      <c r="BB178" s="173" t="str">
        <f>IF(Table2[[#This Row],[Counter Number]]="","",Table2[[#This Row],[Annual Miles Traveled:]]*IF(Table2[[#This Row],[New Engine Fuel Type:]]="ULSD",VLOOKUP(Table2[[#This Row],[New Engine Model Year:]],EFTable[],3,FALSE),VLOOKUP(Table2[[#This Row],[New Engine Fuel Type:]],EFTable[],3,FALSE)))</f>
        <v/>
      </c>
      <c r="BC178" s="187" t="str">
        <f>IF(Table2[[#This Row],[Counter Number]]="","",Table2[[#This Row],[Old Bus NOx Emissions (tons/yr)]]-Table2[[#This Row],[New Bus NOx Emissions (tons/yr)]])</f>
        <v/>
      </c>
      <c r="BD178" s="188" t="str">
        <f>IF(Table2[[#This Row],[Counter Number]]="","",Table2[[#This Row],[Reduction Bus NOx Emissions (tons/yr)]]/Table2[[#This Row],[Old Bus NOx Emissions (tons/yr)]])</f>
        <v/>
      </c>
      <c r="BE178" s="175" t="str">
        <f>IF(Table2[[#This Row],[Counter Number]]="","",Table2[[#This Row],[Reduction Bus NOx Emissions (tons/yr)]]*Table2[[#This Row],[Remaining Life:]])</f>
        <v/>
      </c>
      <c r="BF178" s="189" t="str">
        <f>IF(Table2[[#This Row],[Counter Number]]="","",IF(Table2[[#This Row],[Lifetime NOx Reduction (tons)]]=0,"NA",Table2[[#This Row],[Upgrade Cost Per Unit]]/Table2[[#This Row],[Lifetime NOx Reduction (tons)]]))</f>
        <v/>
      </c>
      <c r="BG178" s="190" t="str">
        <f>IF(Table2[[#This Row],[Counter Number]]="","",Table2[[#This Row],[Annual Miles Traveled:]]*VLOOKUP(Table2[[#This Row],[Engine Model Year:]],EF!$A$2:$G$27,4,FALSE))</f>
        <v/>
      </c>
      <c r="BH178" s="173" t="str">
        <f>IF(Table2[[#This Row],[Counter Number]]="","",Table2[[#This Row],[Annual Miles Traveled:]]*IF(Table2[[#This Row],[New Engine Fuel Type:]]="ULSD",VLOOKUP(Table2[[#This Row],[New Engine Model Year:]],EFTable[],4,FALSE),VLOOKUP(Table2[[#This Row],[New Engine Fuel Type:]],EFTable[],4,FALSE)))</f>
        <v/>
      </c>
      <c r="BI178" s="191" t="str">
        <f>IF(Table2[[#This Row],[Counter Number]]="","",Table2[[#This Row],[Old Bus PM2.5 Emissions (tons/yr)]]-Table2[[#This Row],[New Bus PM2.5 Emissions (tons/yr)]])</f>
        <v/>
      </c>
      <c r="BJ178" s="192" t="str">
        <f>IF(Table2[[#This Row],[Counter Number]]="","",Table2[[#This Row],[Reduction Bus PM2.5 Emissions (tons/yr)]]/Table2[[#This Row],[Old Bus PM2.5 Emissions (tons/yr)]])</f>
        <v/>
      </c>
      <c r="BK178" s="193" t="str">
        <f>IF(Table2[[#This Row],[Counter Number]]="","",Table2[[#This Row],[Reduction Bus PM2.5 Emissions (tons/yr)]]*Table2[[#This Row],[Remaining Life:]])</f>
        <v/>
      </c>
      <c r="BL178" s="194" t="str">
        <f>IF(Table2[[#This Row],[Counter Number]]="","",IF(Table2[[#This Row],[Lifetime PM2.5 Reduction (tons)]]=0,"NA",Table2[[#This Row],[Upgrade Cost Per Unit]]/Table2[[#This Row],[Lifetime PM2.5 Reduction (tons)]]))</f>
        <v/>
      </c>
      <c r="BM178" s="179" t="str">
        <f>IF(Table2[[#This Row],[Counter Number]]="","",Table2[[#This Row],[Annual Miles Traveled:]]*VLOOKUP(Table2[[#This Row],[Engine Model Year:]],EF!$A$2:$G$40,5,FALSE))</f>
        <v/>
      </c>
      <c r="BN178" s="173" t="str">
        <f>IF(Table2[[#This Row],[Counter Number]]="","",Table2[[#This Row],[Annual Miles Traveled:]]*IF(Table2[[#This Row],[New Engine Fuel Type:]]="ULSD",VLOOKUP(Table2[[#This Row],[New Engine Model Year:]],EFTable[],5,FALSE),VLOOKUP(Table2[[#This Row],[New Engine Fuel Type:]],EFTable[],5,FALSE)))</f>
        <v/>
      </c>
      <c r="BO178" s="190" t="str">
        <f>IF(Table2[[#This Row],[Counter Number]]="","",Table2[[#This Row],[Old Bus HC Emissions (tons/yr)]]-Table2[[#This Row],[New Bus HC Emissions (tons/yr)]])</f>
        <v/>
      </c>
      <c r="BP178" s="188" t="str">
        <f>IF(Table2[[#This Row],[Counter Number]]="","",Table2[[#This Row],[Reduction Bus HC Emissions (tons/yr)]]/Table2[[#This Row],[Old Bus HC Emissions (tons/yr)]])</f>
        <v/>
      </c>
      <c r="BQ178" s="193" t="str">
        <f>IF(Table2[[#This Row],[Counter Number]]="","",Table2[[#This Row],[Reduction Bus HC Emissions (tons/yr)]]*Table2[[#This Row],[Remaining Life:]])</f>
        <v/>
      </c>
      <c r="BR178" s="194" t="str">
        <f>IF(Table2[[#This Row],[Counter Number]]="","",IF(Table2[[#This Row],[Lifetime HC Reduction (tons)]]=0,"NA",Table2[[#This Row],[Upgrade Cost Per Unit]]/Table2[[#This Row],[Lifetime HC Reduction (tons)]]))</f>
        <v/>
      </c>
      <c r="BS178" s="191" t="str">
        <f>IF(Table2[[#This Row],[Counter Number]]="","",Table2[[#This Row],[Annual Miles Traveled:]]*VLOOKUP(Table2[[#This Row],[Engine Model Year:]],EF!$A$2:$G$27,6,FALSE))</f>
        <v/>
      </c>
      <c r="BT178" s="173" t="str">
        <f>IF(Table2[[#This Row],[Counter Number]]="","",Table2[[#This Row],[Annual Miles Traveled:]]*IF(Table2[[#This Row],[New Engine Fuel Type:]]="ULSD",VLOOKUP(Table2[[#This Row],[New Engine Model Year:]],EFTable[],6,FALSE),VLOOKUP(Table2[[#This Row],[New Engine Fuel Type:]],EFTable[],6,FALSE)))</f>
        <v/>
      </c>
      <c r="BU178" s="190" t="str">
        <f>IF(Table2[[#This Row],[Counter Number]]="","",Table2[[#This Row],[Old Bus CO Emissions (tons/yr)]]-Table2[[#This Row],[New Bus CO Emissions (tons/yr)]])</f>
        <v/>
      </c>
      <c r="BV178" s="188" t="str">
        <f>IF(Table2[[#This Row],[Counter Number]]="","",Table2[[#This Row],[Reduction Bus CO Emissions (tons/yr)]]/Table2[[#This Row],[Old Bus CO Emissions (tons/yr)]])</f>
        <v/>
      </c>
      <c r="BW178" s="193" t="str">
        <f>IF(Table2[[#This Row],[Counter Number]]="","",Table2[[#This Row],[Reduction Bus CO Emissions (tons/yr)]]*Table2[[#This Row],[Remaining Life:]])</f>
        <v/>
      </c>
      <c r="BX178" s="194" t="str">
        <f>IF(Table2[[#This Row],[Counter Number]]="","",IF(Table2[[#This Row],[Lifetime CO Reduction (tons)]]=0,"NA",Table2[[#This Row],[Upgrade Cost Per Unit]]/Table2[[#This Row],[Lifetime CO Reduction (tons)]]))</f>
        <v/>
      </c>
      <c r="BY178" s="180" t="str">
        <f>IF(Table2[[#This Row],[Counter Number]]="","",Table2[[#This Row],[Old ULSD Used (gal):]]*VLOOKUP(Table2[[#This Row],[Engine Model Year:]],EF!$A$2:$G$27,7,FALSE))</f>
        <v/>
      </c>
      <c r="BZ17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8" s="195" t="str">
        <f>IF(Table2[[#This Row],[Counter Number]]="","",Table2[[#This Row],[Old Bus CO2 Emissions (tons/yr)]]-Table2[[#This Row],[New Bus CO2 Emissions (tons/yr)]])</f>
        <v/>
      </c>
      <c r="CB178" s="188" t="str">
        <f>IF(Table2[[#This Row],[Counter Number]]="","",Table2[[#This Row],[Reduction Bus CO2 Emissions (tons/yr)]]/Table2[[#This Row],[Old Bus CO2 Emissions (tons/yr)]])</f>
        <v/>
      </c>
      <c r="CC178" s="195" t="str">
        <f>IF(Table2[[#This Row],[Counter Number]]="","",Table2[[#This Row],[Reduction Bus CO2 Emissions (tons/yr)]]*Table2[[#This Row],[Remaining Life:]])</f>
        <v/>
      </c>
      <c r="CD178" s="194" t="str">
        <f>IF(Table2[[#This Row],[Counter Number]]="","",IF(Table2[[#This Row],[Lifetime CO2 Reduction (tons)]]=0,"NA",Table2[[#This Row],[Upgrade Cost Per Unit]]/Table2[[#This Row],[Lifetime CO2 Reduction (tons)]]))</f>
        <v/>
      </c>
      <c r="CE178" s="182" t="str">
        <f>IF(Table2[[#This Row],[Counter Number]]="","",IF(Table2[[#This Row],[New ULSD Used (gal):]]="",Table2[[#This Row],[Old ULSD Used (gal):]],Table2[[#This Row],[Old ULSD Used (gal):]]-Table2[[#This Row],[New ULSD Used (gal):]]))</f>
        <v/>
      </c>
      <c r="CF178" s="196" t="str">
        <f>IF(Table2[[#This Row],[Counter Number]]="","",Table2[[#This Row],[Diesel Fuel Reduction (gal/yr)]]/Table2[[#This Row],[Old ULSD Used (gal):]])</f>
        <v/>
      </c>
      <c r="CG178" s="197" t="str">
        <f>IF(Table2[[#This Row],[Counter Number]]="","",Table2[[#This Row],[Diesel Fuel Reduction (gal/yr)]]*Table2[[#This Row],[Remaining Life:]])</f>
        <v/>
      </c>
    </row>
    <row r="179" spans="1:85">
      <c r="A179" s="184" t="str">
        <f>IF(A113&lt;Application!$D$24,A113+1,"")</f>
        <v/>
      </c>
      <c r="B179" s="60" t="str">
        <f>IF(Table2[[#This Row],[Counter Number]]="","",Application!$D$16)</f>
        <v/>
      </c>
      <c r="C179" s="60" t="str">
        <f>IF(Table2[[#This Row],[Counter Number]]="","",Application!$D$14)</f>
        <v/>
      </c>
      <c r="D179" s="60" t="str">
        <f>IF(Table2[[#This Row],[Counter Number]]="","",Table1[[#This Row],[Old Bus Number]])</f>
        <v/>
      </c>
      <c r="E179" s="60" t="str">
        <f>IF(Table2[[#This Row],[Counter Number]]="","",Application!$D$15)</f>
        <v/>
      </c>
      <c r="F179" s="60" t="str">
        <f>IF(Table2[[#This Row],[Counter Number]]="","","On Highway")</f>
        <v/>
      </c>
      <c r="G179" s="60" t="str">
        <f>IF(Table2[[#This Row],[Counter Number]]="","",I179)</f>
        <v/>
      </c>
      <c r="H179" s="60" t="str">
        <f>IF(Table2[[#This Row],[Counter Number]]="","","Georgia")</f>
        <v/>
      </c>
      <c r="I179" s="60" t="str">
        <f>IF(Table2[[#This Row],[Counter Number]]="","",Application!$D$16)</f>
        <v/>
      </c>
      <c r="J179" s="60" t="str">
        <f>IF(Table2[[#This Row],[Counter Number]]="","",Application!$D$21)</f>
        <v/>
      </c>
      <c r="K179" s="60" t="str">
        <f>IF(Table2[[#This Row],[Counter Number]]="","",Application!$J$21)</f>
        <v/>
      </c>
      <c r="L179" s="60" t="str">
        <f>IF(Table2[[#This Row],[Counter Number]]="","","School Bus")</f>
        <v/>
      </c>
      <c r="M179" s="60" t="str">
        <f>IF(Table2[[#This Row],[Counter Number]]="","","School Bus")</f>
        <v/>
      </c>
      <c r="N179" s="60" t="str">
        <f>IF(Table2[[#This Row],[Counter Number]]="","",1)</f>
        <v/>
      </c>
      <c r="O179" s="60" t="str">
        <f>IF(Table2[[#This Row],[Counter Number]]="","",Table1[[#This Row],[Vehicle Identification Number(s):]])</f>
        <v/>
      </c>
      <c r="P179" s="60" t="str">
        <f>IF(Table2[[#This Row],[Counter Number]]="","",Table1[[#This Row],[Old Bus Manufacturer:]])</f>
        <v/>
      </c>
      <c r="Q179" s="60" t="str">
        <f>IF(Table2[[#This Row],[Counter Number]]="","",Table1[[#This Row],[Vehicle Model:]])</f>
        <v/>
      </c>
      <c r="R179" s="165" t="str">
        <f>IF(Table2[[#This Row],[Counter Number]]="","",Table1[[#This Row],[Vehicle Model Year:]])</f>
        <v/>
      </c>
      <c r="S179" s="60" t="str">
        <f>IF(Table2[[#This Row],[Counter Number]]="","",Table1[[#This Row],[Engine Serial Number(s):]])</f>
        <v/>
      </c>
      <c r="T179" s="60" t="str">
        <f>IF(Table2[[#This Row],[Counter Number]]="","",Table1[[#This Row],[Engine Make:]])</f>
        <v/>
      </c>
      <c r="U179" s="60" t="str">
        <f>IF(Table2[[#This Row],[Counter Number]]="","",Table1[[#This Row],[Engine Model:]])</f>
        <v/>
      </c>
      <c r="V179" s="165" t="str">
        <f>IF(Table2[[#This Row],[Counter Number]]="","",Table1[[#This Row],[Engine Model Year:]])</f>
        <v/>
      </c>
      <c r="W179" s="60" t="str">
        <f>IF(Table2[[#This Row],[Counter Number]]="","","NA")</f>
        <v/>
      </c>
      <c r="X179" s="165" t="str">
        <f>IF(Table2[[#This Row],[Counter Number]]="","",Table1[[#This Row],[Engine Horsepower (HP):]])</f>
        <v/>
      </c>
      <c r="Y179" s="165" t="str">
        <f>IF(Table2[[#This Row],[Counter Number]]="","",Table1[[#This Row],[Engine Cylinder Displacement (L):]]&amp;" L")</f>
        <v/>
      </c>
      <c r="Z179" s="165" t="str">
        <f>IF(Table2[[#This Row],[Counter Number]]="","",Table1[[#This Row],[Engine Number of Cylinders:]])</f>
        <v/>
      </c>
      <c r="AA179" s="166" t="str">
        <f>IF(Table2[[#This Row],[Counter Number]]="","",Table1[[#This Row],[Engine Family Name:]])</f>
        <v/>
      </c>
      <c r="AB179" s="60" t="str">
        <f>IF(Table2[[#This Row],[Counter Number]]="","","ULSD")</f>
        <v/>
      </c>
      <c r="AC179" s="167" t="str">
        <f>IF(Table2[[#This Row],[Counter Number]]="","",Table2[[#This Row],[Annual Miles Traveled:]]/Table1[[#This Row],[Old Fuel (mpg)]])</f>
        <v/>
      </c>
      <c r="AD179" s="60" t="str">
        <f>IF(Table2[[#This Row],[Counter Number]]="","","NA")</f>
        <v/>
      </c>
      <c r="AE179" s="168" t="str">
        <f>IF(Table2[[#This Row],[Counter Number]]="","",Table1[[#This Row],[Annual Miles Traveled]])</f>
        <v/>
      </c>
      <c r="AF179" s="169" t="str">
        <f>IF(Table2[[#This Row],[Counter Number]]="","",Table1[[#This Row],[Annual Idling Hours:]])</f>
        <v/>
      </c>
      <c r="AG179" s="60" t="str">
        <f>IF(Table2[[#This Row],[Counter Number]]="","","NA")</f>
        <v/>
      </c>
      <c r="AH179" s="165" t="str">
        <f>IF(Table2[[#This Row],[Counter Number]]="","",IF(Application!$J$25="Set Policy",Table1[[#This Row],[Remaining Life (years)         Set Policy]],Table1[[#This Row],[Remaining Life (years)               Case-by-Case]]))</f>
        <v/>
      </c>
      <c r="AI179" s="165" t="str">
        <f>IF(Table2[[#This Row],[Counter Number]]="","",IF(Application!$J$25="Case-by-Case","NA",Table2[[#This Row],[Fiscal Year of EPA Funds Used:]]+Table2[[#This Row],[Remaining Life:]]))</f>
        <v/>
      </c>
      <c r="AJ179" s="165"/>
      <c r="AK179" s="170" t="str">
        <f>IF(Table2[[#This Row],[Counter Number]]="","",Application!$D$14+1)</f>
        <v/>
      </c>
      <c r="AL179" s="60" t="str">
        <f>IF(Table2[[#This Row],[Counter Number]]="","","Vehicle Replacement")</f>
        <v/>
      </c>
      <c r="AM17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9" s="171" t="str">
        <f>IF(Table2[[#This Row],[Counter Number]]="","",Table1[[#This Row],[Cost of New Bus:]])</f>
        <v/>
      </c>
      <c r="AO179" s="60" t="str">
        <f>IF(Table2[[#This Row],[Counter Number]]="","","NA")</f>
        <v/>
      </c>
      <c r="AP179" s="165" t="str">
        <f>IF(Table2[[#This Row],[Counter Number]]="","",Table1[[#This Row],[New Engine Model Year:]])</f>
        <v/>
      </c>
      <c r="AQ179" s="60" t="str">
        <f>IF(Table2[[#This Row],[Counter Number]]="","","NA")</f>
        <v/>
      </c>
      <c r="AR179" s="165" t="str">
        <f>IF(Table2[[#This Row],[Counter Number]]="","",Table1[[#This Row],[New Engine Horsepower (HP):]])</f>
        <v/>
      </c>
      <c r="AS179" s="60" t="str">
        <f>IF(Table2[[#This Row],[Counter Number]]="","","NA")</f>
        <v/>
      </c>
      <c r="AT179" s="165" t="str">
        <f>IF(Table2[[#This Row],[Counter Number]]="","",Table1[[#This Row],[New Engine Cylinder Displacement (L):]]&amp;" L")</f>
        <v/>
      </c>
      <c r="AU179" s="114" t="str">
        <f>IF(Table2[[#This Row],[Counter Number]]="","",Table1[[#This Row],[New Engine Number of Cylinders:]])</f>
        <v/>
      </c>
      <c r="AV179" s="60" t="str">
        <f>IF(Table2[[#This Row],[Counter Number]]="","",Table1[[#This Row],[New Engine Family Name:]])</f>
        <v/>
      </c>
      <c r="AW17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9" s="60" t="str">
        <f>IF(Table2[[#This Row],[Counter Number]]="","","NA")</f>
        <v/>
      </c>
      <c r="AY179" s="172" t="str">
        <f>IF(Table2[[#This Row],[Counter Number]]="","",IF(Table2[[#This Row],[New Engine Fuel Type:]]="ULSD",Table1[[#This Row],[Annual Miles Traveled]]/Table1[[#This Row],[New Fuel (mpg) if Diesel]],""))</f>
        <v/>
      </c>
      <c r="AZ179" s="60"/>
      <c r="BA179" s="173" t="str">
        <f>IF(Table2[[#This Row],[Counter Number]]="","",Table2[[#This Row],[Annual Miles Traveled:]]*VLOOKUP(Table2[[#This Row],[Engine Model Year:]],EFTable[],3,FALSE))</f>
        <v/>
      </c>
      <c r="BB179" s="173" t="str">
        <f>IF(Table2[[#This Row],[Counter Number]]="","",Table2[[#This Row],[Annual Miles Traveled:]]*IF(Table2[[#This Row],[New Engine Fuel Type:]]="ULSD",VLOOKUP(Table2[[#This Row],[New Engine Model Year:]],EFTable[],3,FALSE),VLOOKUP(Table2[[#This Row],[New Engine Fuel Type:]],EFTable[],3,FALSE)))</f>
        <v/>
      </c>
      <c r="BC179" s="187" t="str">
        <f>IF(Table2[[#This Row],[Counter Number]]="","",Table2[[#This Row],[Old Bus NOx Emissions (tons/yr)]]-Table2[[#This Row],[New Bus NOx Emissions (tons/yr)]])</f>
        <v/>
      </c>
      <c r="BD179" s="188" t="str">
        <f>IF(Table2[[#This Row],[Counter Number]]="","",Table2[[#This Row],[Reduction Bus NOx Emissions (tons/yr)]]/Table2[[#This Row],[Old Bus NOx Emissions (tons/yr)]])</f>
        <v/>
      </c>
      <c r="BE179" s="175" t="str">
        <f>IF(Table2[[#This Row],[Counter Number]]="","",Table2[[#This Row],[Reduction Bus NOx Emissions (tons/yr)]]*Table2[[#This Row],[Remaining Life:]])</f>
        <v/>
      </c>
      <c r="BF179" s="189" t="str">
        <f>IF(Table2[[#This Row],[Counter Number]]="","",IF(Table2[[#This Row],[Lifetime NOx Reduction (tons)]]=0,"NA",Table2[[#This Row],[Upgrade Cost Per Unit]]/Table2[[#This Row],[Lifetime NOx Reduction (tons)]]))</f>
        <v/>
      </c>
      <c r="BG179" s="190" t="str">
        <f>IF(Table2[[#This Row],[Counter Number]]="","",Table2[[#This Row],[Annual Miles Traveled:]]*VLOOKUP(Table2[[#This Row],[Engine Model Year:]],EF!$A$2:$G$27,4,FALSE))</f>
        <v/>
      </c>
      <c r="BH179" s="173" t="str">
        <f>IF(Table2[[#This Row],[Counter Number]]="","",Table2[[#This Row],[Annual Miles Traveled:]]*IF(Table2[[#This Row],[New Engine Fuel Type:]]="ULSD",VLOOKUP(Table2[[#This Row],[New Engine Model Year:]],EFTable[],4,FALSE),VLOOKUP(Table2[[#This Row],[New Engine Fuel Type:]],EFTable[],4,FALSE)))</f>
        <v/>
      </c>
      <c r="BI179" s="191" t="str">
        <f>IF(Table2[[#This Row],[Counter Number]]="","",Table2[[#This Row],[Old Bus PM2.5 Emissions (tons/yr)]]-Table2[[#This Row],[New Bus PM2.5 Emissions (tons/yr)]])</f>
        <v/>
      </c>
      <c r="BJ179" s="192" t="str">
        <f>IF(Table2[[#This Row],[Counter Number]]="","",Table2[[#This Row],[Reduction Bus PM2.5 Emissions (tons/yr)]]/Table2[[#This Row],[Old Bus PM2.5 Emissions (tons/yr)]])</f>
        <v/>
      </c>
      <c r="BK179" s="193" t="str">
        <f>IF(Table2[[#This Row],[Counter Number]]="","",Table2[[#This Row],[Reduction Bus PM2.5 Emissions (tons/yr)]]*Table2[[#This Row],[Remaining Life:]])</f>
        <v/>
      </c>
      <c r="BL179" s="194" t="str">
        <f>IF(Table2[[#This Row],[Counter Number]]="","",IF(Table2[[#This Row],[Lifetime PM2.5 Reduction (tons)]]=0,"NA",Table2[[#This Row],[Upgrade Cost Per Unit]]/Table2[[#This Row],[Lifetime PM2.5 Reduction (tons)]]))</f>
        <v/>
      </c>
      <c r="BM179" s="179" t="str">
        <f>IF(Table2[[#This Row],[Counter Number]]="","",Table2[[#This Row],[Annual Miles Traveled:]]*VLOOKUP(Table2[[#This Row],[Engine Model Year:]],EF!$A$2:$G$40,5,FALSE))</f>
        <v/>
      </c>
      <c r="BN179" s="173" t="str">
        <f>IF(Table2[[#This Row],[Counter Number]]="","",Table2[[#This Row],[Annual Miles Traveled:]]*IF(Table2[[#This Row],[New Engine Fuel Type:]]="ULSD",VLOOKUP(Table2[[#This Row],[New Engine Model Year:]],EFTable[],5,FALSE),VLOOKUP(Table2[[#This Row],[New Engine Fuel Type:]],EFTable[],5,FALSE)))</f>
        <v/>
      </c>
      <c r="BO179" s="190" t="str">
        <f>IF(Table2[[#This Row],[Counter Number]]="","",Table2[[#This Row],[Old Bus HC Emissions (tons/yr)]]-Table2[[#This Row],[New Bus HC Emissions (tons/yr)]])</f>
        <v/>
      </c>
      <c r="BP179" s="188" t="str">
        <f>IF(Table2[[#This Row],[Counter Number]]="","",Table2[[#This Row],[Reduction Bus HC Emissions (tons/yr)]]/Table2[[#This Row],[Old Bus HC Emissions (tons/yr)]])</f>
        <v/>
      </c>
      <c r="BQ179" s="193" t="str">
        <f>IF(Table2[[#This Row],[Counter Number]]="","",Table2[[#This Row],[Reduction Bus HC Emissions (tons/yr)]]*Table2[[#This Row],[Remaining Life:]])</f>
        <v/>
      </c>
      <c r="BR179" s="194" t="str">
        <f>IF(Table2[[#This Row],[Counter Number]]="","",IF(Table2[[#This Row],[Lifetime HC Reduction (tons)]]=0,"NA",Table2[[#This Row],[Upgrade Cost Per Unit]]/Table2[[#This Row],[Lifetime HC Reduction (tons)]]))</f>
        <v/>
      </c>
      <c r="BS179" s="191" t="str">
        <f>IF(Table2[[#This Row],[Counter Number]]="","",Table2[[#This Row],[Annual Miles Traveled:]]*VLOOKUP(Table2[[#This Row],[Engine Model Year:]],EF!$A$2:$G$27,6,FALSE))</f>
        <v/>
      </c>
      <c r="BT179" s="173" t="str">
        <f>IF(Table2[[#This Row],[Counter Number]]="","",Table2[[#This Row],[Annual Miles Traveled:]]*IF(Table2[[#This Row],[New Engine Fuel Type:]]="ULSD",VLOOKUP(Table2[[#This Row],[New Engine Model Year:]],EFTable[],6,FALSE),VLOOKUP(Table2[[#This Row],[New Engine Fuel Type:]],EFTable[],6,FALSE)))</f>
        <v/>
      </c>
      <c r="BU179" s="190" t="str">
        <f>IF(Table2[[#This Row],[Counter Number]]="","",Table2[[#This Row],[Old Bus CO Emissions (tons/yr)]]-Table2[[#This Row],[New Bus CO Emissions (tons/yr)]])</f>
        <v/>
      </c>
      <c r="BV179" s="188" t="str">
        <f>IF(Table2[[#This Row],[Counter Number]]="","",Table2[[#This Row],[Reduction Bus CO Emissions (tons/yr)]]/Table2[[#This Row],[Old Bus CO Emissions (tons/yr)]])</f>
        <v/>
      </c>
      <c r="BW179" s="193" t="str">
        <f>IF(Table2[[#This Row],[Counter Number]]="","",Table2[[#This Row],[Reduction Bus CO Emissions (tons/yr)]]*Table2[[#This Row],[Remaining Life:]])</f>
        <v/>
      </c>
      <c r="BX179" s="194" t="str">
        <f>IF(Table2[[#This Row],[Counter Number]]="","",IF(Table2[[#This Row],[Lifetime CO Reduction (tons)]]=0,"NA",Table2[[#This Row],[Upgrade Cost Per Unit]]/Table2[[#This Row],[Lifetime CO Reduction (tons)]]))</f>
        <v/>
      </c>
      <c r="BY179" s="180" t="str">
        <f>IF(Table2[[#This Row],[Counter Number]]="","",Table2[[#This Row],[Old ULSD Used (gal):]]*VLOOKUP(Table2[[#This Row],[Engine Model Year:]],EF!$A$2:$G$27,7,FALSE))</f>
        <v/>
      </c>
      <c r="BZ17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9" s="195" t="str">
        <f>IF(Table2[[#This Row],[Counter Number]]="","",Table2[[#This Row],[Old Bus CO2 Emissions (tons/yr)]]-Table2[[#This Row],[New Bus CO2 Emissions (tons/yr)]])</f>
        <v/>
      </c>
      <c r="CB179" s="188" t="str">
        <f>IF(Table2[[#This Row],[Counter Number]]="","",Table2[[#This Row],[Reduction Bus CO2 Emissions (tons/yr)]]/Table2[[#This Row],[Old Bus CO2 Emissions (tons/yr)]])</f>
        <v/>
      </c>
      <c r="CC179" s="195" t="str">
        <f>IF(Table2[[#This Row],[Counter Number]]="","",Table2[[#This Row],[Reduction Bus CO2 Emissions (tons/yr)]]*Table2[[#This Row],[Remaining Life:]])</f>
        <v/>
      </c>
      <c r="CD179" s="194" t="str">
        <f>IF(Table2[[#This Row],[Counter Number]]="","",IF(Table2[[#This Row],[Lifetime CO2 Reduction (tons)]]=0,"NA",Table2[[#This Row],[Upgrade Cost Per Unit]]/Table2[[#This Row],[Lifetime CO2 Reduction (tons)]]))</f>
        <v/>
      </c>
      <c r="CE179" s="182" t="str">
        <f>IF(Table2[[#This Row],[Counter Number]]="","",IF(Table2[[#This Row],[New ULSD Used (gal):]]="",Table2[[#This Row],[Old ULSD Used (gal):]],Table2[[#This Row],[Old ULSD Used (gal):]]-Table2[[#This Row],[New ULSD Used (gal):]]))</f>
        <v/>
      </c>
      <c r="CF179" s="196" t="str">
        <f>IF(Table2[[#This Row],[Counter Number]]="","",Table2[[#This Row],[Diesel Fuel Reduction (gal/yr)]]/Table2[[#This Row],[Old ULSD Used (gal):]])</f>
        <v/>
      </c>
      <c r="CG179" s="197" t="str">
        <f>IF(Table2[[#This Row],[Counter Number]]="","",Table2[[#This Row],[Diesel Fuel Reduction (gal/yr)]]*Table2[[#This Row],[Remaining Life:]])</f>
        <v/>
      </c>
    </row>
    <row r="180" spans="1:85">
      <c r="A180" s="184" t="str">
        <f>IF(A114&lt;Application!$D$24,A114+1,"")</f>
        <v/>
      </c>
      <c r="B180" s="60" t="str">
        <f>IF(Table2[[#This Row],[Counter Number]]="","",Application!$D$16)</f>
        <v/>
      </c>
      <c r="C180" s="60" t="str">
        <f>IF(Table2[[#This Row],[Counter Number]]="","",Application!$D$14)</f>
        <v/>
      </c>
      <c r="D180" s="60" t="str">
        <f>IF(Table2[[#This Row],[Counter Number]]="","",Table1[[#This Row],[Old Bus Number]])</f>
        <v/>
      </c>
      <c r="E180" s="60" t="str">
        <f>IF(Table2[[#This Row],[Counter Number]]="","",Application!$D$15)</f>
        <v/>
      </c>
      <c r="F180" s="60" t="str">
        <f>IF(Table2[[#This Row],[Counter Number]]="","","On Highway")</f>
        <v/>
      </c>
      <c r="G180" s="60" t="str">
        <f>IF(Table2[[#This Row],[Counter Number]]="","",I180)</f>
        <v/>
      </c>
      <c r="H180" s="60" t="str">
        <f>IF(Table2[[#This Row],[Counter Number]]="","","Georgia")</f>
        <v/>
      </c>
      <c r="I180" s="60" t="str">
        <f>IF(Table2[[#This Row],[Counter Number]]="","",Application!$D$16)</f>
        <v/>
      </c>
      <c r="J180" s="60" t="str">
        <f>IF(Table2[[#This Row],[Counter Number]]="","",Application!$D$21)</f>
        <v/>
      </c>
      <c r="K180" s="60" t="str">
        <f>IF(Table2[[#This Row],[Counter Number]]="","",Application!$J$21)</f>
        <v/>
      </c>
      <c r="L180" s="60" t="str">
        <f>IF(Table2[[#This Row],[Counter Number]]="","","School Bus")</f>
        <v/>
      </c>
      <c r="M180" s="60" t="str">
        <f>IF(Table2[[#This Row],[Counter Number]]="","","School Bus")</f>
        <v/>
      </c>
      <c r="N180" s="60" t="str">
        <f>IF(Table2[[#This Row],[Counter Number]]="","",1)</f>
        <v/>
      </c>
      <c r="O180" s="60" t="str">
        <f>IF(Table2[[#This Row],[Counter Number]]="","",Table1[[#This Row],[Vehicle Identification Number(s):]])</f>
        <v/>
      </c>
      <c r="P180" s="60" t="str">
        <f>IF(Table2[[#This Row],[Counter Number]]="","",Table1[[#This Row],[Old Bus Manufacturer:]])</f>
        <v/>
      </c>
      <c r="Q180" s="60" t="str">
        <f>IF(Table2[[#This Row],[Counter Number]]="","",Table1[[#This Row],[Vehicle Model:]])</f>
        <v/>
      </c>
      <c r="R180" s="165" t="str">
        <f>IF(Table2[[#This Row],[Counter Number]]="","",Table1[[#This Row],[Vehicle Model Year:]])</f>
        <v/>
      </c>
      <c r="S180" s="60" t="str">
        <f>IF(Table2[[#This Row],[Counter Number]]="","",Table1[[#This Row],[Engine Serial Number(s):]])</f>
        <v/>
      </c>
      <c r="T180" s="60" t="str">
        <f>IF(Table2[[#This Row],[Counter Number]]="","",Table1[[#This Row],[Engine Make:]])</f>
        <v/>
      </c>
      <c r="U180" s="60" t="str">
        <f>IF(Table2[[#This Row],[Counter Number]]="","",Table1[[#This Row],[Engine Model:]])</f>
        <v/>
      </c>
      <c r="V180" s="165" t="str">
        <f>IF(Table2[[#This Row],[Counter Number]]="","",Table1[[#This Row],[Engine Model Year:]])</f>
        <v/>
      </c>
      <c r="W180" s="60" t="str">
        <f>IF(Table2[[#This Row],[Counter Number]]="","","NA")</f>
        <v/>
      </c>
      <c r="X180" s="165" t="str">
        <f>IF(Table2[[#This Row],[Counter Number]]="","",Table1[[#This Row],[Engine Horsepower (HP):]])</f>
        <v/>
      </c>
      <c r="Y180" s="165" t="str">
        <f>IF(Table2[[#This Row],[Counter Number]]="","",Table1[[#This Row],[Engine Cylinder Displacement (L):]]&amp;" L")</f>
        <v/>
      </c>
      <c r="Z180" s="165" t="str">
        <f>IF(Table2[[#This Row],[Counter Number]]="","",Table1[[#This Row],[Engine Number of Cylinders:]])</f>
        <v/>
      </c>
      <c r="AA180" s="166" t="str">
        <f>IF(Table2[[#This Row],[Counter Number]]="","",Table1[[#This Row],[Engine Family Name:]])</f>
        <v/>
      </c>
      <c r="AB180" s="60" t="str">
        <f>IF(Table2[[#This Row],[Counter Number]]="","","ULSD")</f>
        <v/>
      </c>
      <c r="AC180" s="167" t="str">
        <f>IF(Table2[[#This Row],[Counter Number]]="","",Table2[[#This Row],[Annual Miles Traveled:]]/Table1[[#This Row],[Old Fuel (mpg)]])</f>
        <v/>
      </c>
      <c r="AD180" s="60" t="str">
        <f>IF(Table2[[#This Row],[Counter Number]]="","","NA")</f>
        <v/>
      </c>
      <c r="AE180" s="168" t="str">
        <f>IF(Table2[[#This Row],[Counter Number]]="","",Table1[[#This Row],[Annual Miles Traveled]])</f>
        <v/>
      </c>
      <c r="AF180" s="169" t="str">
        <f>IF(Table2[[#This Row],[Counter Number]]="","",Table1[[#This Row],[Annual Idling Hours:]])</f>
        <v/>
      </c>
      <c r="AG180" s="60" t="str">
        <f>IF(Table2[[#This Row],[Counter Number]]="","","NA")</f>
        <v/>
      </c>
      <c r="AH180" s="165" t="str">
        <f>IF(Table2[[#This Row],[Counter Number]]="","",IF(Application!$J$25="Set Policy",Table1[[#This Row],[Remaining Life (years)         Set Policy]],Table1[[#This Row],[Remaining Life (years)               Case-by-Case]]))</f>
        <v/>
      </c>
      <c r="AI180" s="165" t="str">
        <f>IF(Table2[[#This Row],[Counter Number]]="","",IF(Application!$J$25="Case-by-Case","NA",Table2[[#This Row],[Fiscal Year of EPA Funds Used:]]+Table2[[#This Row],[Remaining Life:]]))</f>
        <v/>
      </c>
      <c r="AJ180" s="165"/>
      <c r="AK180" s="170" t="str">
        <f>IF(Table2[[#This Row],[Counter Number]]="","",Application!$D$14+1)</f>
        <v/>
      </c>
      <c r="AL180" s="60" t="str">
        <f>IF(Table2[[#This Row],[Counter Number]]="","","Vehicle Replacement")</f>
        <v/>
      </c>
      <c r="AM18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0" s="171" t="str">
        <f>IF(Table2[[#This Row],[Counter Number]]="","",Table1[[#This Row],[Cost of New Bus:]])</f>
        <v/>
      </c>
      <c r="AO180" s="60" t="str">
        <f>IF(Table2[[#This Row],[Counter Number]]="","","NA")</f>
        <v/>
      </c>
      <c r="AP180" s="165" t="str">
        <f>IF(Table2[[#This Row],[Counter Number]]="","",Table1[[#This Row],[New Engine Model Year:]])</f>
        <v/>
      </c>
      <c r="AQ180" s="60" t="str">
        <f>IF(Table2[[#This Row],[Counter Number]]="","","NA")</f>
        <v/>
      </c>
      <c r="AR180" s="165" t="str">
        <f>IF(Table2[[#This Row],[Counter Number]]="","",Table1[[#This Row],[New Engine Horsepower (HP):]])</f>
        <v/>
      </c>
      <c r="AS180" s="60" t="str">
        <f>IF(Table2[[#This Row],[Counter Number]]="","","NA")</f>
        <v/>
      </c>
      <c r="AT180" s="165" t="str">
        <f>IF(Table2[[#This Row],[Counter Number]]="","",Table1[[#This Row],[New Engine Cylinder Displacement (L):]]&amp;" L")</f>
        <v/>
      </c>
      <c r="AU180" s="114" t="str">
        <f>IF(Table2[[#This Row],[Counter Number]]="","",Table1[[#This Row],[New Engine Number of Cylinders:]])</f>
        <v/>
      </c>
      <c r="AV180" s="60" t="str">
        <f>IF(Table2[[#This Row],[Counter Number]]="","",Table1[[#This Row],[New Engine Family Name:]])</f>
        <v/>
      </c>
      <c r="AW18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0" s="60" t="str">
        <f>IF(Table2[[#This Row],[Counter Number]]="","","NA")</f>
        <v/>
      </c>
      <c r="AY180" s="172" t="str">
        <f>IF(Table2[[#This Row],[Counter Number]]="","",IF(Table2[[#This Row],[New Engine Fuel Type:]]="ULSD",Table1[[#This Row],[Annual Miles Traveled]]/Table1[[#This Row],[New Fuel (mpg) if Diesel]],""))</f>
        <v/>
      </c>
      <c r="AZ180" s="60"/>
      <c r="BA180" s="173" t="str">
        <f>IF(Table2[[#This Row],[Counter Number]]="","",Table2[[#This Row],[Annual Miles Traveled:]]*VLOOKUP(Table2[[#This Row],[Engine Model Year:]],EFTable[],3,FALSE))</f>
        <v/>
      </c>
      <c r="BB180" s="173" t="str">
        <f>IF(Table2[[#This Row],[Counter Number]]="","",Table2[[#This Row],[Annual Miles Traveled:]]*IF(Table2[[#This Row],[New Engine Fuel Type:]]="ULSD",VLOOKUP(Table2[[#This Row],[New Engine Model Year:]],EFTable[],3,FALSE),VLOOKUP(Table2[[#This Row],[New Engine Fuel Type:]],EFTable[],3,FALSE)))</f>
        <v/>
      </c>
      <c r="BC180" s="187" t="str">
        <f>IF(Table2[[#This Row],[Counter Number]]="","",Table2[[#This Row],[Old Bus NOx Emissions (tons/yr)]]-Table2[[#This Row],[New Bus NOx Emissions (tons/yr)]])</f>
        <v/>
      </c>
      <c r="BD180" s="188" t="str">
        <f>IF(Table2[[#This Row],[Counter Number]]="","",Table2[[#This Row],[Reduction Bus NOx Emissions (tons/yr)]]/Table2[[#This Row],[Old Bus NOx Emissions (tons/yr)]])</f>
        <v/>
      </c>
      <c r="BE180" s="175" t="str">
        <f>IF(Table2[[#This Row],[Counter Number]]="","",Table2[[#This Row],[Reduction Bus NOx Emissions (tons/yr)]]*Table2[[#This Row],[Remaining Life:]])</f>
        <v/>
      </c>
      <c r="BF180" s="189" t="str">
        <f>IF(Table2[[#This Row],[Counter Number]]="","",IF(Table2[[#This Row],[Lifetime NOx Reduction (tons)]]=0,"NA",Table2[[#This Row],[Upgrade Cost Per Unit]]/Table2[[#This Row],[Lifetime NOx Reduction (tons)]]))</f>
        <v/>
      </c>
      <c r="BG180" s="190" t="str">
        <f>IF(Table2[[#This Row],[Counter Number]]="","",Table2[[#This Row],[Annual Miles Traveled:]]*VLOOKUP(Table2[[#This Row],[Engine Model Year:]],EF!$A$2:$G$27,4,FALSE))</f>
        <v/>
      </c>
      <c r="BH180" s="173" t="str">
        <f>IF(Table2[[#This Row],[Counter Number]]="","",Table2[[#This Row],[Annual Miles Traveled:]]*IF(Table2[[#This Row],[New Engine Fuel Type:]]="ULSD",VLOOKUP(Table2[[#This Row],[New Engine Model Year:]],EFTable[],4,FALSE),VLOOKUP(Table2[[#This Row],[New Engine Fuel Type:]],EFTable[],4,FALSE)))</f>
        <v/>
      </c>
      <c r="BI180" s="191" t="str">
        <f>IF(Table2[[#This Row],[Counter Number]]="","",Table2[[#This Row],[Old Bus PM2.5 Emissions (tons/yr)]]-Table2[[#This Row],[New Bus PM2.5 Emissions (tons/yr)]])</f>
        <v/>
      </c>
      <c r="BJ180" s="192" t="str">
        <f>IF(Table2[[#This Row],[Counter Number]]="","",Table2[[#This Row],[Reduction Bus PM2.5 Emissions (tons/yr)]]/Table2[[#This Row],[Old Bus PM2.5 Emissions (tons/yr)]])</f>
        <v/>
      </c>
      <c r="BK180" s="193" t="str">
        <f>IF(Table2[[#This Row],[Counter Number]]="","",Table2[[#This Row],[Reduction Bus PM2.5 Emissions (tons/yr)]]*Table2[[#This Row],[Remaining Life:]])</f>
        <v/>
      </c>
      <c r="BL180" s="194" t="str">
        <f>IF(Table2[[#This Row],[Counter Number]]="","",IF(Table2[[#This Row],[Lifetime PM2.5 Reduction (tons)]]=0,"NA",Table2[[#This Row],[Upgrade Cost Per Unit]]/Table2[[#This Row],[Lifetime PM2.5 Reduction (tons)]]))</f>
        <v/>
      </c>
      <c r="BM180" s="179" t="str">
        <f>IF(Table2[[#This Row],[Counter Number]]="","",Table2[[#This Row],[Annual Miles Traveled:]]*VLOOKUP(Table2[[#This Row],[Engine Model Year:]],EF!$A$2:$G$40,5,FALSE))</f>
        <v/>
      </c>
      <c r="BN180" s="173" t="str">
        <f>IF(Table2[[#This Row],[Counter Number]]="","",Table2[[#This Row],[Annual Miles Traveled:]]*IF(Table2[[#This Row],[New Engine Fuel Type:]]="ULSD",VLOOKUP(Table2[[#This Row],[New Engine Model Year:]],EFTable[],5,FALSE),VLOOKUP(Table2[[#This Row],[New Engine Fuel Type:]],EFTable[],5,FALSE)))</f>
        <v/>
      </c>
      <c r="BO180" s="190" t="str">
        <f>IF(Table2[[#This Row],[Counter Number]]="","",Table2[[#This Row],[Old Bus HC Emissions (tons/yr)]]-Table2[[#This Row],[New Bus HC Emissions (tons/yr)]])</f>
        <v/>
      </c>
      <c r="BP180" s="188" t="str">
        <f>IF(Table2[[#This Row],[Counter Number]]="","",Table2[[#This Row],[Reduction Bus HC Emissions (tons/yr)]]/Table2[[#This Row],[Old Bus HC Emissions (tons/yr)]])</f>
        <v/>
      </c>
      <c r="BQ180" s="193" t="str">
        <f>IF(Table2[[#This Row],[Counter Number]]="","",Table2[[#This Row],[Reduction Bus HC Emissions (tons/yr)]]*Table2[[#This Row],[Remaining Life:]])</f>
        <v/>
      </c>
      <c r="BR180" s="194" t="str">
        <f>IF(Table2[[#This Row],[Counter Number]]="","",IF(Table2[[#This Row],[Lifetime HC Reduction (tons)]]=0,"NA",Table2[[#This Row],[Upgrade Cost Per Unit]]/Table2[[#This Row],[Lifetime HC Reduction (tons)]]))</f>
        <v/>
      </c>
      <c r="BS180" s="191" t="str">
        <f>IF(Table2[[#This Row],[Counter Number]]="","",Table2[[#This Row],[Annual Miles Traveled:]]*VLOOKUP(Table2[[#This Row],[Engine Model Year:]],EF!$A$2:$G$27,6,FALSE))</f>
        <v/>
      </c>
      <c r="BT180" s="173" t="str">
        <f>IF(Table2[[#This Row],[Counter Number]]="","",Table2[[#This Row],[Annual Miles Traveled:]]*IF(Table2[[#This Row],[New Engine Fuel Type:]]="ULSD",VLOOKUP(Table2[[#This Row],[New Engine Model Year:]],EFTable[],6,FALSE),VLOOKUP(Table2[[#This Row],[New Engine Fuel Type:]],EFTable[],6,FALSE)))</f>
        <v/>
      </c>
      <c r="BU180" s="190" t="str">
        <f>IF(Table2[[#This Row],[Counter Number]]="","",Table2[[#This Row],[Old Bus CO Emissions (tons/yr)]]-Table2[[#This Row],[New Bus CO Emissions (tons/yr)]])</f>
        <v/>
      </c>
      <c r="BV180" s="188" t="str">
        <f>IF(Table2[[#This Row],[Counter Number]]="","",Table2[[#This Row],[Reduction Bus CO Emissions (tons/yr)]]/Table2[[#This Row],[Old Bus CO Emissions (tons/yr)]])</f>
        <v/>
      </c>
      <c r="BW180" s="193" t="str">
        <f>IF(Table2[[#This Row],[Counter Number]]="","",Table2[[#This Row],[Reduction Bus CO Emissions (tons/yr)]]*Table2[[#This Row],[Remaining Life:]])</f>
        <v/>
      </c>
      <c r="BX180" s="194" t="str">
        <f>IF(Table2[[#This Row],[Counter Number]]="","",IF(Table2[[#This Row],[Lifetime CO Reduction (tons)]]=0,"NA",Table2[[#This Row],[Upgrade Cost Per Unit]]/Table2[[#This Row],[Lifetime CO Reduction (tons)]]))</f>
        <v/>
      </c>
      <c r="BY180" s="180" t="str">
        <f>IF(Table2[[#This Row],[Counter Number]]="","",Table2[[#This Row],[Old ULSD Used (gal):]]*VLOOKUP(Table2[[#This Row],[Engine Model Year:]],EF!$A$2:$G$27,7,FALSE))</f>
        <v/>
      </c>
      <c r="BZ18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0" s="195" t="str">
        <f>IF(Table2[[#This Row],[Counter Number]]="","",Table2[[#This Row],[Old Bus CO2 Emissions (tons/yr)]]-Table2[[#This Row],[New Bus CO2 Emissions (tons/yr)]])</f>
        <v/>
      </c>
      <c r="CB180" s="188" t="str">
        <f>IF(Table2[[#This Row],[Counter Number]]="","",Table2[[#This Row],[Reduction Bus CO2 Emissions (tons/yr)]]/Table2[[#This Row],[Old Bus CO2 Emissions (tons/yr)]])</f>
        <v/>
      </c>
      <c r="CC180" s="195" t="str">
        <f>IF(Table2[[#This Row],[Counter Number]]="","",Table2[[#This Row],[Reduction Bus CO2 Emissions (tons/yr)]]*Table2[[#This Row],[Remaining Life:]])</f>
        <v/>
      </c>
      <c r="CD180" s="194" t="str">
        <f>IF(Table2[[#This Row],[Counter Number]]="","",IF(Table2[[#This Row],[Lifetime CO2 Reduction (tons)]]=0,"NA",Table2[[#This Row],[Upgrade Cost Per Unit]]/Table2[[#This Row],[Lifetime CO2 Reduction (tons)]]))</f>
        <v/>
      </c>
      <c r="CE180" s="182" t="str">
        <f>IF(Table2[[#This Row],[Counter Number]]="","",IF(Table2[[#This Row],[New ULSD Used (gal):]]="",Table2[[#This Row],[Old ULSD Used (gal):]],Table2[[#This Row],[Old ULSD Used (gal):]]-Table2[[#This Row],[New ULSD Used (gal):]]))</f>
        <v/>
      </c>
      <c r="CF180" s="196" t="str">
        <f>IF(Table2[[#This Row],[Counter Number]]="","",Table2[[#This Row],[Diesel Fuel Reduction (gal/yr)]]/Table2[[#This Row],[Old ULSD Used (gal):]])</f>
        <v/>
      </c>
      <c r="CG180" s="197" t="str">
        <f>IF(Table2[[#This Row],[Counter Number]]="","",Table2[[#This Row],[Diesel Fuel Reduction (gal/yr)]]*Table2[[#This Row],[Remaining Life:]])</f>
        <v/>
      </c>
    </row>
    <row r="181" spans="1:85">
      <c r="A181" s="184" t="str">
        <f>IF(A115&lt;Application!$D$24,A115+1,"")</f>
        <v/>
      </c>
      <c r="B181" s="60" t="str">
        <f>IF(Table2[[#This Row],[Counter Number]]="","",Application!$D$16)</f>
        <v/>
      </c>
      <c r="C181" s="60" t="str">
        <f>IF(Table2[[#This Row],[Counter Number]]="","",Application!$D$14)</f>
        <v/>
      </c>
      <c r="D181" s="60" t="str">
        <f>IF(Table2[[#This Row],[Counter Number]]="","",Table1[[#This Row],[Old Bus Number]])</f>
        <v/>
      </c>
      <c r="E181" s="60" t="str">
        <f>IF(Table2[[#This Row],[Counter Number]]="","",Application!$D$15)</f>
        <v/>
      </c>
      <c r="F181" s="60" t="str">
        <f>IF(Table2[[#This Row],[Counter Number]]="","","On Highway")</f>
        <v/>
      </c>
      <c r="G181" s="60" t="str">
        <f>IF(Table2[[#This Row],[Counter Number]]="","",I181)</f>
        <v/>
      </c>
      <c r="H181" s="60" t="str">
        <f>IF(Table2[[#This Row],[Counter Number]]="","","Georgia")</f>
        <v/>
      </c>
      <c r="I181" s="60" t="str">
        <f>IF(Table2[[#This Row],[Counter Number]]="","",Application!$D$16)</f>
        <v/>
      </c>
      <c r="J181" s="60" t="str">
        <f>IF(Table2[[#This Row],[Counter Number]]="","",Application!$D$21)</f>
        <v/>
      </c>
      <c r="K181" s="60" t="str">
        <f>IF(Table2[[#This Row],[Counter Number]]="","",Application!$J$21)</f>
        <v/>
      </c>
      <c r="L181" s="60" t="str">
        <f>IF(Table2[[#This Row],[Counter Number]]="","","School Bus")</f>
        <v/>
      </c>
      <c r="M181" s="60" t="str">
        <f>IF(Table2[[#This Row],[Counter Number]]="","","School Bus")</f>
        <v/>
      </c>
      <c r="N181" s="60" t="str">
        <f>IF(Table2[[#This Row],[Counter Number]]="","",1)</f>
        <v/>
      </c>
      <c r="O181" s="60" t="str">
        <f>IF(Table2[[#This Row],[Counter Number]]="","",Table1[[#This Row],[Vehicle Identification Number(s):]])</f>
        <v/>
      </c>
      <c r="P181" s="60" t="str">
        <f>IF(Table2[[#This Row],[Counter Number]]="","",Table1[[#This Row],[Old Bus Manufacturer:]])</f>
        <v/>
      </c>
      <c r="Q181" s="60" t="str">
        <f>IF(Table2[[#This Row],[Counter Number]]="","",Table1[[#This Row],[Vehicle Model:]])</f>
        <v/>
      </c>
      <c r="R181" s="165" t="str">
        <f>IF(Table2[[#This Row],[Counter Number]]="","",Table1[[#This Row],[Vehicle Model Year:]])</f>
        <v/>
      </c>
      <c r="S181" s="60" t="str">
        <f>IF(Table2[[#This Row],[Counter Number]]="","",Table1[[#This Row],[Engine Serial Number(s):]])</f>
        <v/>
      </c>
      <c r="T181" s="60" t="str">
        <f>IF(Table2[[#This Row],[Counter Number]]="","",Table1[[#This Row],[Engine Make:]])</f>
        <v/>
      </c>
      <c r="U181" s="60" t="str">
        <f>IF(Table2[[#This Row],[Counter Number]]="","",Table1[[#This Row],[Engine Model:]])</f>
        <v/>
      </c>
      <c r="V181" s="165" t="str">
        <f>IF(Table2[[#This Row],[Counter Number]]="","",Table1[[#This Row],[Engine Model Year:]])</f>
        <v/>
      </c>
      <c r="W181" s="60" t="str">
        <f>IF(Table2[[#This Row],[Counter Number]]="","","NA")</f>
        <v/>
      </c>
      <c r="X181" s="165" t="str">
        <f>IF(Table2[[#This Row],[Counter Number]]="","",Table1[[#This Row],[Engine Horsepower (HP):]])</f>
        <v/>
      </c>
      <c r="Y181" s="165" t="str">
        <f>IF(Table2[[#This Row],[Counter Number]]="","",Table1[[#This Row],[Engine Cylinder Displacement (L):]]&amp;" L")</f>
        <v/>
      </c>
      <c r="Z181" s="165" t="str">
        <f>IF(Table2[[#This Row],[Counter Number]]="","",Table1[[#This Row],[Engine Number of Cylinders:]])</f>
        <v/>
      </c>
      <c r="AA181" s="166" t="str">
        <f>IF(Table2[[#This Row],[Counter Number]]="","",Table1[[#This Row],[Engine Family Name:]])</f>
        <v/>
      </c>
      <c r="AB181" s="60" t="str">
        <f>IF(Table2[[#This Row],[Counter Number]]="","","ULSD")</f>
        <v/>
      </c>
      <c r="AC181" s="167" t="str">
        <f>IF(Table2[[#This Row],[Counter Number]]="","",Table2[[#This Row],[Annual Miles Traveled:]]/Table1[[#This Row],[Old Fuel (mpg)]])</f>
        <v/>
      </c>
      <c r="AD181" s="60" t="str">
        <f>IF(Table2[[#This Row],[Counter Number]]="","","NA")</f>
        <v/>
      </c>
      <c r="AE181" s="168" t="str">
        <f>IF(Table2[[#This Row],[Counter Number]]="","",Table1[[#This Row],[Annual Miles Traveled]])</f>
        <v/>
      </c>
      <c r="AF181" s="169" t="str">
        <f>IF(Table2[[#This Row],[Counter Number]]="","",Table1[[#This Row],[Annual Idling Hours:]])</f>
        <v/>
      </c>
      <c r="AG181" s="60" t="str">
        <f>IF(Table2[[#This Row],[Counter Number]]="","","NA")</f>
        <v/>
      </c>
      <c r="AH181" s="165" t="str">
        <f>IF(Table2[[#This Row],[Counter Number]]="","",IF(Application!$J$25="Set Policy",Table1[[#This Row],[Remaining Life (years)         Set Policy]],Table1[[#This Row],[Remaining Life (years)               Case-by-Case]]))</f>
        <v/>
      </c>
      <c r="AI181" s="165" t="str">
        <f>IF(Table2[[#This Row],[Counter Number]]="","",IF(Application!$J$25="Case-by-Case","NA",Table2[[#This Row],[Fiscal Year of EPA Funds Used:]]+Table2[[#This Row],[Remaining Life:]]))</f>
        <v/>
      </c>
      <c r="AJ181" s="165"/>
      <c r="AK181" s="170" t="str">
        <f>IF(Table2[[#This Row],[Counter Number]]="","",Application!$D$14+1)</f>
        <v/>
      </c>
      <c r="AL181" s="60" t="str">
        <f>IF(Table2[[#This Row],[Counter Number]]="","","Vehicle Replacement")</f>
        <v/>
      </c>
      <c r="AM18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1" s="171" t="str">
        <f>IF(Table2[[#This Row],[Counter Number]]="","",Table1[[#This Row],[Cost of New Bus:]])</f>
        <v/>
      </c>
      <c r="AO181" s="60" t="str">
        <f>IF(Table2[[#This Row],[Counter Number]]="","","NA")</f>
        <v/>
      </c>
      <c r="AP181" s="165" t="str">
        <f>IF(Table2[[#This Row],[Counter Number]]="","",Table1[[#This Row],[New Engine Model Year:]])</f>
        <v/>
      </c>
      <c r="AQ181" s="60" t="str">
        <f>IF(Table2[[#This Row],[Counter Number]]="","","NA")</f>
        <v/>
      </c>
      <c r="AR181" s="165" t="str">
        <f>IF(Table2[[#This Row],[Counter Number]]="","",Table1[[#This Row],[New Engine Horsepower (HP):]])</f>
        <v/>
      </c>
      <c r="AS181" s="60" t="str">
        <f>IF(Table2[[#This Row],[Counter Number]]="","","NA")</f>
        <v/>
      </c>
      <c r="AT181" s="165" t="str">
        <f>IF(Table2[[#This Row],[Counter Number]]="","",Table1[[#This Row],[New Engine Cylinder Displacement (L):]]&amp;" L")</f>
        <v/>
      </c>
      <c r="AU181" s="114" t="str">
        <f>IF(Table2[[#This Row],[Counter Number]]="","",Table1[[#This Row],[New Engine Number of Cylinders:]])</f>
        <v/>
      </c>
      <c r="AV181" s="60" t="str">
        <f>IF(Table2[[#This Row],[Counter Number]]="","",Table1[[#This Row],[New Engine Family Name:]])</f>
        <v/>
      </c>
      <c r="AW18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1" s="60" t="str">
        <f>IF(Table2[[#This Row],[Counter Number]]="","","NA")</f>
        <v/>
      </c>
      <c r="AY181" s="172" t="str">
        <f>IF(Table2[[#This Row],[Counter Number]]="","",IF(Table2[[#This Row],[New Engine Fuel Type:]]="ULSD",Table1[[#This Row],[Annual Miles Traveled]]/Table1[[#This Row],[New Fuel (mpg) if Diesel]],""))</f>
        <v/>
      </c>
      <c r="AZ181" s="60"/>
      <c r="BA181" s="173" t="str">
        <f>IF(Table2[[#This Row],[Counter Number]]="","",Table2[[#This Row],[Annual Miles Traveled:]]*VLOOKUP(Table2[[#This Row],[Engine Model Year:]],EFTable[],3,FALSE))</f>
        <v/>
      </c>
      <c r="BB181" s="173" t="str">
        <f>IF(Table2[[#This Row],[Counter Number]]="","",Table2[[#This Row],[Annual Miles Traveled:]]*IF(Table2[[#This Row],[New Engine Fuel Type:]]="ULSD",VLOOKUP(Table2[[#This Row],[New Engine Model Year:]],EFTable[],3,FALSE),VLOOKUP(Table2[[#This Row],[New Engine Fuel Type:]],EFTable[],3,FALSE)))</f>
        <v/>
      </c>
      <c r="BC181" s="187" t="str">
        <f>IF(Table2[[#This Row],[Counter Number]]="","",Table2[[#This Row],[Old Bus NOx Emissions (tons/yr)]]-Table2[[#This Row],[New Bus NOx Emissions (tons/yr)]])</f>
        <v/>
      </c>
      <c r="BD181" s="188" t="str">
        <f>IF(Table2[[#This Row],[Counter Number]]="","",Table2[[#This Row],[Reduction Bus NOx Emissions (tons/yr)]]/Table2[[#This Row],[Old Bus NOx Emissions (tons/yr)]])</f>
        <v/>
      </c>
      <c r="BE181" s="175" t="str">
        <f>IF(Table2[[#This Row],[Counter Number]]="","",Table2[[#This Row],[Reduction Bus NOx Emissions (tons/yr)]]*Table2[[#This Row],[Remaining Life:]])</f>
        <v/>
      </c>
      <c r="BF181" s="189" t="str">
        <f>IF(Table2[[#This Row],[Counter Number]]="","",IF(Table2[[#This Row],[Lifetime NOx Reduction (tons)]]=0,"NA",Table2[[#This Row],[Upgrade Cost Per Unit]]/Table2[[#This Row],[Lifetime NOx Reduction (tons)]]))</f>
        <v/>
      </c>
      <c r="BG181" s="190" t="str">
        <f>IF(Table2[[#This Row],[Counter Number]]="","",Table2[[#This Row],[Annual Miles Traveled:]]*VLOOKUP(Table2[[#This Row],[Engine Model Year:]],EF!$A$2:$G$27,4,FALSE))</f>
        <v/>
      </c>
      <c r="BH181" s="173" t="str">
        <f>IF(Table2[[#This Row],[Counter Number]]="","",Table2[[#This Row],[Annual Miles Traveled:]]*IF(Table2[[#This Row],[New Engine Fuel Type:]]="ULSD",VLOOKUP(Table2[[#This Row],[New Engine Model Year:]],EFTable[],4,FALSE),VLOOKUP(Table2[[#This Row],[New Engine Fuel Type:]],EFTable[],4,FALSE)))</f>
        <v/>
      </c>
      <c r="BI181" s="191" t="str">
        <f>IF(Table2[[#This Row],[Counter Number]]="","",Table2[[#This Row],[Old Bus PM2.5 Emissions (tons/yr)]]-Table2[[#This Row],[New Bus PM2.5 Emissions (tons/yr)]])</f>
        <v/>
      </c>
      <c r="BJ181" s="192" t="str">
        <f>IF(Table2[[#This Row],[Counter Number]]="","",Table2[[#This Row],[Reduction Bus PM2.5 Emissions (tons/yr)]]/Table2[[#This Row],[Old Bus PM2.5 Emissions (tons/yr)]])</f>
        <v/>
      </c>
      <c r="BK181" s="193" t="str">
        <f>IF(Table2[[#This Row],[Counter Number]]="","",Table2[[#This Row],[Reduction Bus PM2.5 Emissions (tons/yr)]]*Table2[[#This Row],[Remaining Life:]])</f>
        <v/>
      </c>
      <c r="BL181" s="194" t="str">
        <f>IF(Table2[[#This Row],[Counter Number]]="","",IF(Table2[[#This Row],[Lifetime PM2.5 Reduction (tons)]]=0,"NA",Table2[[#This Row],[Upgrade Cost Per Unit]]/Table2[[#This Row],[Lifetime PM2.5 Reduction (tons)]]))</f>
        <v/>
      </c>
      <c r="BM181" s="179" t="str">
        <f>IF(Table2[[#This Row],[Counter Number]]="","",Table2[[#This Row],[Annual Miles Traveled:]]*VLOOKUP(Table2[[#This Row],[Engine Model Year:]],EF!$A$2:$G$40,5,FALSE))</f>
        <v/>
      </c>
      <c r="BN181" s="173" t="str">
        <f>IF(Table2[[#This Row],[Counter Number]]="","",Table2[[#This Row],[Annual Miles Traveled:]]*IF(Table2[[#This Row],[New Engine Fuel Type:]]="ULSD",VLOOKUP(Table2[[#This Row],[New Engine Model Year:]],EFTable[],5,FALSE),VLOOKUP(Table2[[#This Row],[New Engine Fuel Type:]],EFTable[],5,FALSE)))</f>
        <v/>
      </c>
      <c r="BO181" s="190" t="str">
        <f>IF(Table2[[#This Row],[Counter Number]]="","",Table2[[#This Row],[Old Bus HC Emissions (tons/yr)]]-Table2[[#This Row],[New Bus HC Emissions (tons/yr)]])</f>
        <v/>
      </c>
      <c r="BP181" s="188" t="str">
        <f>IF(Table2[[#This Row],[Counter Number]]="","",Table2[[#This Row],[Reduction Bus HC Emissions (tons/yr)]]/Table2[[#This Row],[Old Bus HC Emissions (tons/yr)]])</f>
        <v/>
      </c>
      <c r="BQ181" s="193" t="str">
        <f>IF(Table2[[#This Row],[Counter Number]]="","",Table2[[#This Row],[Reduction Bus HC Emissions (tons/yr)]]*Table2[[#This Row],[Remaining Life:]])</f>
        <v/>
      </c>
      <c r="BR181" s="194" t="str">
        <f>IF(Table2[[#This Row],[Counter Number]]="","",IF(Table2[[#This Row],[Lifetime HC Reduction (tons)]]=0,"NA",Table2[[#This Row],[Upgrade Cost Per Unit]]/Table2[[#This Row],[Lifetime HC Reduction (tons)]]))</f>
        <v/>
      </c>
      <c r="BS181" s="191" t="str">
        <f>IF(Table2[[#This Row],[Counter Number]]="","",Table2[[#This Row],[Annual Miles Traveled:]]*VLOOKUP(Table2[[#This Row],[Engine Model Year:]],EF!$A$2:$G$27,6,FALSE))</f>
        <v/>
      </c>
      <c r="BT181" s="173" t="str">
        <f>IF(Table2[[#This Row],[Counter Number]]="","",Table2[[#This Row],[Annual Miles Traveled:]]*IF(Table2[[#This Row],[New Engine Fuel Type:]]="ULSD",VLOOKUP(Table2[[#This Row],[New Engine Model Year:]],EFTable[],6,FALSE),VLOOKUP(Table2[[#This Row],[New Engine Fuel Type:]],EFTable[],6,FALSE)))</f>
        <v/>
      </c>
      <c r="BU181" s="190" t="str">
        <f>IF(Table2[[#This Row],[Counter Number]]="","",Table2[[#This Row],[Old Bus CO Emissions (tons/yr)]]-Table2[[#This Row],[New Bus CO Emissions (tons/yr)]])</f>
        <v/>
      </c>
      <c r="BV181" s="188" t="str">
        <f>IF(Table2[[#This Row],[Counter Number]]="","",Table2[[#This Row],[Reduction Bus CO Emissions (tons/yr)]]/Table2[[#This Row],[Old Bus CO Emissions (tons/yr)]])</f>
        <v/>
      </c>
      <c r="BW181" s="193" t="str">
        <f>IF(Table2[[#This Row],[Counter Number]]="","",Table2[[#This Row],[Reduction Bus CO Emissions (tons/yr)]]*Table2[[#This Row],[Remaining Life:]])</f>
        <v/>
      </c>
      <c r="BX181" s="194" t="str">
        <f>IF(Table2[[#This Row],[Counter Number]]="","",IF(Table2[[#This Row],[Lifetime CO Reduction (tons)]]=0,"NA",Table2[[#This Row],[Upgrade Cost Per Unit]]/Table2[[#This Row],[Lifetime CO Reduction (tons)]]))</f>
        <v/>
      </c>
      <c r="BY181" s="180" t="str">
        <f>IF(Table2[[#This Row],[Counter Number]]="","",Table2[[#This Row],[Old ULSD Used (gal):]]*VLOOKUP(Table2[[#This Row],[Engine Model Year:]],EF!$A$2:$G$27,7,FALSE))</f>
        <v/>
      </c>
      <c r="BZ18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1" s="195" t="str">
        <f>IF(Table2[[#This Row],[Counter Number]]="","",Table2[[#This Row],[Old Bus CO2 Emissions (tons/yr)]]-Table2[[#This Row],[New Bus CO2 Emissions (tons/yr)]])</f>
        <v/>
      </c>
      <c r="CB181" s="188" t="str">
        <f>IF(Table2[[#This Row],[Counter Number]]="","",Table2[[#This Row],[Reduction Bus CO2 Emissions (tons/yr)]]/Table2[[#This Row],[Old Bus CO2 Emissions (tons/yr)]])</f>
        <v/>
      </c>
      <c r="CC181" s="195" t="str">
        <f>IF(Table2[[#This Row],[Counter Number]]="","",Table2[[#This Row],[Reduction Bus CO2 Emissions (tons/yr)]]*Table2[[#This Row],[Remaining Life:]])</f>
        <v/>
      </c>
      <c r="CD181" s="194" t="str">
        <f>IF(Table2[[#This Row],[Counter Number]]="","",IF(Table2[[#This Row],[Lifetime CO2 Reduction (tons)]]=0,"NA",Table2[[#This Row],[Upgrade Cost Per Unit]]/Table2[[#This Row],[Lifetime CO2 Reduction (tons)]]))</f>
        <v/>
      </c>
      <c r="CE181" s="182" t="str">
        <f>IF(Table2[[#This Row],[Counter Number]]="","",IF(Table2[[#This Row],[New ULSD Used (gal):]]="",Table2[[#This Row],[Old ULSD Used (gal):]],Table2[[#This Row],[Old ULSD Used (gal):]]-Table2[[#This Row],[New ULSD Used (gal):]]))</f>
        <v/>
      </c>
      <c r="CF181" s="196" t="str">
        <f>IF(Table2[[#This Row],[Counter Number]]="","",Table2[[#This Row],[Diesel Fuel Reduction (gal/yr)]]/Table2[[#This Row],[Old ULSD Used (gal):]])</f>
        <v/>
      </c>
      <c r="CG181" s="197" t="str">
        <f>IF(Table2[[#This Row],[Counter Number]]="","",Table2[[#This Row],[Diesel Fuel Reduction (gal/yr)]]*Table2[[#This Row],[Remaining Life:]])</f>
        <v/>
      </c>
    </row>
    <row r="182" spans="1:85">
      <c r="A182" s="184" t="str">
        <f>IF(A116&lt;Application!$D$24,A116+1,"")</f>
        <v/>
      </c>
      <c r="B182" s="60" t="str">
        <f>IF(Table2[[#This Row],[Counter Number]]="","",Application!$D$16)</f>
        <v/>
      </c>
      <c r="C182" s="60" t="str">
        <f>IF(Table2[[#This Row],[Counter Number]]="","",Application!$D$14)</f>
        <v/>
      </c>
      <c r="D182" s="60" t="str">
        <f>IF(Table2[[#This Row],[Counter Number]]="","",Table1[[#This Row],[Old Bus Number]])</f>
        <v/>
      </c>
      <c r="E182" s="60" t="str">
        <f>IF(Table2[[#This Row],[Counter Number]]="","",Application!$D$15)</f>
        <v/>
      </c>
      <c r="F182" s="60" t="str">
        <f>IF(Table2[[#This Row],[Counter Number]]="","","On Highway")</f>
        <v/>
      </c>
      <c r="G182" s="60" t="str">
        <f>IF(Table2[[#This Row],[Counter Number]]="","",I182)</f>
        <v/>
      </c>
      <c r="H182" s="60" t="str">
        <f>IF(Table2[[#This Row],[Counter Number]]="","","Georgia")</f>
        <v/>
      </c>
      <c r="I182" s="60" t="str">
        <f>IF(Table2[[#This Row],[Counter Number]]="","",Application!$D$16)</f>
        <v/>
      </c>
      <c r="J182" s="60" t="str">
        <f>IF(Table2[[#This Row],[Counter Number]]="","",Application!$D$21)</f>
        <v/>
      </c>
      <c r="K182" s="60" t="str">
        <f>IF(Table2[[#This Row],[Counter Number]]="","",Application!$J$21)</f>
        <v/>
      </c>
      <c r="L182" s="60" t="str">
        <f>IF(Table2[[#This Row],[Counter Number]]="","","School Bus")</f>
        <v/>
      </c>
      <c r="M182" s="60" t="str">
        <f>IF(Table2[[#This Row],[Counter Number]]="","","School Bus")</f>
        <v/>
      </c>
      <c r="N182" s="60" t="str">
        <f>IF(Table2[[#This Row],[Counter Number]]="","",1)</f>
        <v/>
      </c>
      <c r="O182" s="60" t="str">
        <f>IF(Table2[[#This Row],[Counter Number]]="","",Table1[[#This Row],[Vehicle Identification Number(s):]])</f>
        <v/>
      </c>
      <c r="P182" s="60" t="str">
        <f>IF(Table2[[#This Row],[Counter Number]]="","",Table1[[#This Row],[Old Bus Manufacturer:]])</f>
        <v/>
      </c>
      <c r="Q182" s="60" t="str">
        <f>IF(Table2[[#This Row],[Counter Number]]="","",Table1[[#This Row],[Vehicle Model:]])</f>
        <v/>
      </c>
      <c r="R182" s="165" t="str">
        <f>IF(Table2[[#This Row],[Counter Number]]="","",Table1[[#This Row],[Vehicle Model Year:]])</f>
        <v/>
      </c>
      <c r="S182" s="60" t="str">
        <f>IF(Table2[[#This Row],[Counter Number]]="","",Table1[[#This Row],[Engine Serial Number(s):]])</f>
        <v/>
      </c>
      <c r="T182" s="60" t="str">
        <f>IF(Table2[[#This Row],[Counter Number]]="","",Table1[[#This Row],[Engine Make:]])</f>
        <v/>
      </c>
      <c r="U182" s="60" t="str">
        <f>IF(Table2[[#This Row],[Counter Number]]="","",Table1[[#This Row],[Engine Model:]])</f>
        <v/>
      </c>
      <c r="V182" s="165" t="str">
        <f>IF(Table2[[#This Row],[Counter Number]]="","",Table1[[#This Row],[Engine Model Year:]])</f>
        <v/>
      </c>
      <c r="W182" s="60" t="str">
        <f>IF(Table2[[#This Row],[Counter Number]]="","","NA")</f>
        <v/>
      </c>
      <c r="X182" s="165" t="str">
        <f>IF(Table2[[#This Row],[Counter Number]]="","",Table1[[#This Row],[Engine Horsepower (HP):]])</f>
        <v/>
      </c>
      <c r="Y182" s="165" t="str">
        <f>IF(Table2[[#This Row],[Counter Number]]="","",Table1[[#This Row],[Engine Cylinder Displacement (L):]]&amp;" L")</f>
        <v/>
      </c>
      <c r="Z182" s="165" t="str">
        <f>IF(Table2[[#This Row],[Counter Number]]="","",Table1[[#This Row],[Engine Number of Cylinders:]])</f>
        <v/>
      </c>
      <c r="AA182" s="166" t="str">
        <f>IF(Table2[[#This Row],[Counter Number]]="","",Table1[[#This Row],[Engine Family Name:]])</f>
        <v/>
      </c>
      <c r="AB182" s="60" t="str">
        <f>IF(Table2[[#This Row],[Counter Number]]="","","ULSD")</f>
        <v/>
      </c>
      <c r="AC182" s="167" t="str">
        <f>IF(Table2[[#This Row],[Counter Number]]="","",Table2[[#This Row],[Annual Miles Traveled:]]/Table1[[#This Row],[Old Fuel (mpg)]])</f>
        <v/>
      </c>
      <c r="AD182" s="60" t="str">
        <f>IF(Table2[[#This Row],[Counter Number]]="","","NA")</f>
        <v/>
      </c>
      <c r="AE182" s="168" t="str">
        <f>IF(Table2[[#This Row],[Counter Number]]="","",Table1[[#This Row],[Annual Miles Traveled]])</f>
        <v/>
      </c>
      <c r="AF182" s="169" t="str">
        <f>IF(Table2[[#This Row],[Counter Number]]="","",Table1[[#This Row],[Annual Idling Hours:]])</f>
        <v/>
      </c>
      <c r="AG182" s="60" t="str">
        <f>IF(Table2[[#This Row],[Counter Number]]="","","NA")</f>
        <v/>
      </c>
      <c r="AH182" s="165" t="str">
        <f>IF(Table2[[#This Row],[Counter Number]]="","",IF(Application!$J$25="Set Policy",Table1[[#This Row],[Remaining Life (years)         Set Policy]],Table1[[#This Row],[Remaining Life (years)               Case-by-Case]]))</f>
        <v/>
      </c>
      <c r="AI182" s="165" t="str">
        <f>IF(Table2[[#This Row],[Counter Number]]="","",IF(Application!$J$25="Case-by-Case","NA",Table2[[#This Row],[Fiscal Year of EPA Funds Used:]]+Table2[[#This Row],[Remaining Life:]]))</f>
        <v/>
      </c>
      <c r="AJ182" s="165"/>
      <c r="AK182" s="170" t="str">
        <f>IF(Table2[[#This Row],[Counter Number]]="","",Application!$D$14+1)</f>
        <v/>
      </c>
      <c r="AL182" s="60" t="str">
        <f>IF(Table2[[#This Row],[Counter Number]]="","","Vehicle Replacement")</f>
        <v/>
      </c>
      <c r="AM18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2" s="171" t="str">
        <f>IF(Table2[[#This Row],[Counter Number]]="","",Table1[[#This Row],[Cost of New Bus:]])</f>
        <v/>
      </c>
      <c r="AO182" s="60" t="str">
        <f>IF(Table2[[#This Row],[Counter Number]]="","","NA")</f>
        <v/>
      </c>
      <c r="AP182" s="165" t="str">
        <f>IF(Table2[[#This Row],[Counter Number]]="","",Table1[[#This Row],[New Engine Model Year:]])</f>
        <v/>
      </c>
      <c r="AQ182" s="60" t="str">
        <f>IF(Table2[[#This Row],[Counter Number]]="","","NA")</f>
        <v/>
      </c>
      <c r="AR182" s="165" t="str">
        <f>IF(Table2[[#This Row],[Counter Number]]="","",Table1[[#This Row],[New Engine Horsepower (HP):]])</f>
        <v/>
      </c>
      <c r="AS182" s="60" t="str">
        <f>IF(Table2[[#This Row],[Counter Number]]="","","NA")</f>
        <v/>
      </c>
      <c r="AT182" s="165" t="str">
        <f>IF(Table2[[#This Row],[Counter Number]]="","",Table1[[#This Row],[New Engine Cylinder Displacement (L):]]&amp;" L")</f>
        <v/>
      </c>
      <c r="AU182" s="114" t="str">
        <f>IF(Table2[[#This Row],[Counter Number]]="","",Table1[[#This Row],[New Engine Number of Cylinders:]])</f>
        <v/>
      </c>
      <c r="AV182" s="60" t="str">
        <f>IF(Table2[[#This Row],[Counter Number]]="","",Table1[[#This Row],[New Engine Family Name:]])</f>
        <v/>
      </c>
      <c r="AW18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2" s="60" t="str">
        <f>IF(Table2[[#This Row],[Counter Number]]="","","NA")</f>
        <v/>
      </c>
      <c r="AY182" s="172" t="str">
        <f>IF(Table2[[#This Row],[Counter Number]]="","",IF(Table2[[#This Row],[New Engine Fuel Type:]]="ULSD",Table1[[#This Row],[Annual Miles Traveled]]/Table1[[#This Row],[New Fuel (mpg) if Diesel]],""))</f>
        <v/>
      </c>
      <c r="AZ182" s="60"/>
      <c r="BA182" s="173" t="str">
        <f>IF(Table2[[#This Row],[Counter Number]]="","",Table2[[#This Row],[Annual Miles Traveled:]]*VLOOKUP(Table2[[#This Row],[Engine Model Year:]],EFTable[],3,FALSE))</f>
        <v/>
      </c>
      <c r="BB182" s="173" t="str">
        <f>IF(Table2[[#This Row],[Counter Number]]="","",Table2[[#This Row],[Annual Miles Traveled:]]*IF(Table2[[#This Row],[New Engine Fuel Type:]]="ULSD",VLOOKUP(Table2[[#This Row],[New Engine Model Year:]],EFTable[],3,FALSE),VLOOKUP(Table2[[#This Row],[New Engine Fuel Type:]],EFTable[],3,FALSE)))</f>
        <v/>
      </c>
      <c r="BC182" s="187" t="str">
        <f>IF(Table2[[#This Row],[Counter Number]]="","",Table2[[#This Row],[Old Bus NOx Emissions (tons/yr)]]-Table2[[#This Row],[New Bus NOx Emissions (tons/yr)]])</f>
        <v/>
      </c>
      <c r="BD182" s="188" t="str">
        <f>IF(Table2[[#This Row],[Counter Number]]="","",Table2[[#This Row],[Reduction Bus NOx Emissions (tons/yr)]]/Table2[[#This Row],[Old Bus NOx Emissions (tons/yr)]])</f>
        <v/>
      </c>
      <c r="BE182" s="175" t="str">
        <f>IF(Table2[[#This Row],[Counter Number]]="","",Table2[[#This Row],[Reduction Bus NOx Emissions (tons/yr)]]*Table2[[#This Row],[Remaining Life:]])</f>
        <v/>
      </c>
      <c r="BF182" s="189" t="str">
        <f>IF(Table2[[#This Row],[Counter Number]]="","",IF(Table2[[#This Row],[Lifetime NOx Reduction (tons)]]=0,"NA",Table2[[#This Row],[Upgrade Cost Per Unit]]/Table2[[#This Row],[Lifetime NOx Reduction (tons)]]))</f>
        <v/>
      </c>
      <c r="BG182" s="190" t="str">
        <f>IF(Table2[[#This Row],[Counter Number]]="","",Table2[[#This Row],[Annual Miles Traveled:]]*VLOOKUP(Table2[[#This Row],[Engine Model Year:]],EF!$A$2:$G$27,4,FALSE))</f>
        <v/>
      </c>
      <c r="BH182" s="173" t="str">
        <f>IF(Table2[[#This Row],[Counter Number]]="","",Table2[[#This Row],[Annual Miles Traveled:]]*IF(Table2[[#This Row],[New Engine Fuel Type:]]="ULSD",VLOOKUP(Table2[[#This Row],[New Engine Model Year:]],EFTable[],4,FALSE),VLOOKUP(Table2[[#This Row],[New Engine Fuel Type:]],EFTable[],4,FALSE)))</f>
        <v/>
      </c>
      <c r="BI182" s="191" t="str">
        <f>IF(Table2[[#This Row],[Counter Number]]="","",Table2[[#This Row],[Old Bus PM2.5 Emissions (tons/yr)]]-Table2[[#This Row],[New Bus PM2.5 Emissions (tons/yr)]])</f>
        <v/>
      </c>
      <c r="BJ182" s="192" t="str">
        <f>IF(Table2[[#This Row],[Counter Number]]="","",Table2[[#This Row],[Reduction Bus PM2.5 Emissions (tons/yr)]]/Table2[[#This Row],[Old Bus PM2.5 Emissions (tons/yr)]])</f>
        <v/>
      </c>
      <c r="BK182" s="193" t="str">
        <f>IF(Table2[[#This Row],[Counter Number]]="","",Table2[[#This Row],[Reduction Bus PM2.5 Emissions (tons/yr)]]*Table2[[#This Row],[Remaining Life:]])</f>
        <v/>
      </c>
      <c r="BL182" s="194" t="str">
        <f>IF(Table2[[#This Row],[Counter Number]]="","",IF(Table2[[#This Row],[Lifetime PM2.5 Reduction (tons)]]=0,"NA",Table2[[#This Row],[Upgrade Cost Per Unit]]/Table2[[#This Row],[Lifetime PM2.5 Reduction (tons)]]))</f>
        <v/>
      </c>
      <c r="BM182" s="179" t="str">
        <f>IF(Table2[[#This Row],[Counter Number]]="","",Table2[[#This Row],[Annual Miles Traveled:]]*VLOOKUP(Table2[[#This Row],[Engine Model Year:]],EF!$A$2:$G$40,5,FALSE))</f>
        <v/>
      </c>
      <c r="BN182" s="173" t="str">
        <f>IF(Table2[[#This Row],[Counter Number]]="","",Table2[[#This Row],[Annual Miles Traveled:]]*IF(Table2[[#This Row],[New Engine Fuel Type:]]="ULSD",VLOOKUP(Table2[[#This Row],[New Engine Model Year:]],EFTable[],5,FALSE),VLOOKUP(Table2[[#This Row],[New Engine Fuel Type:]],EFTable[],5,FALSE)))</f>
        <v/>
      </c>
      <c r="BO182" s="190" t="str">
        <f>IF(Table2[[#This Row],[Counter Number]]="","",Table2[[#This Row],[Old Bus HC Emissions (tons/yr)]]-Table2[[#This Row],[New Bus HC Emissions (tons/yr)]])</f>
        <v/>
      </c>
      <c r="BP182" s="188" t="str">
        <f>IF(Table2[[#This Row],[Counter Number]]="","",Table2[[#This Row],[Reduction Bus HC Emissions (tons/yr)]]/Table2[[#This Row],[Old Bus HC Emissions (tons/yr)]])</f>
        <v/>
      </c>
      <c r="BQ182" s="193" t="str">
        <f>IF(Table2[[#This Row],[Counter Number]]="","",Table2[[#This Row],[Reduction Bus HC Emissions (tons/yr)]]*Table2[[#This Row],[Remaining Life:]])</f>
        <v/>
      </c>
      <c r="BR182" s="194" t="str">
        <f>IF(Table2[[#This Row],[Counter Number]]="","",IF(Table2[[#This Row],[Lifetime HC Reduction (tons)]]=0,"NA",Table2[[#This Row],[Upgrade Cost Per Unit]]/Table2[[#This Row],[Lifetime HC Reduction (tons)]]))</f>
        <v/>
      </c>
      <c r="BS182" s="191" t="str">
        <f>IF(Table2[[#This Row],[Counter Number]]="","",Table2[[#This Row],[Annual Miles Traveled:]]*VLOOKUP(Table2[[#This Row],[Engine Model Year:]],EF!$A$2:$G$27,6,FALSE))</f>
        <v/>
      </c>
      <c r="BT182" s="173" t="str">
        <f>IF(Table2[[#This Row],[Counter Number]]="","",Table2[[#This Row],[Annual Miles Traveled:]]*IF(Table2[[#This Row],[New Engine Fuel Type:]]="ULSD",VLOOKUP(Table2[[#This Row],[New Engine Model Year:]],EFTable[],6,FALSE),VLOOKUP(Table2[[#This Row],[New Engine Fuel Type:]],EFTable[],6,FALSE)))</f>
        <v/>
      </c>
      <c r="BU182" s="190" t="str">
        <f>IF(Table2[[#This Row],[Counter Number]]="","",Table2[[#This Row],[Old Bus CO Emissions (tons/yr)]]-Table2[[#This Row],[New Bus CO Emissions (tons/yr)]])</f>
        <v/>
      </c>
      <c r="BV182" s="188" t="str">
        <f>IF(Table2[[#This Row],[Counter Number]]="","",Table2[[#This Row],[Reduction Bus CO Emissions (tons/yr)]]/Table2[[#This Row],[Old Bus CO Emissions (tons/yr)]])</f>
        <v/>
      </c>
      <c r="BW182" s="193" t="str">
        <f>IF(Table2[[#This Row],[Counter Number]]="","",Table2[[#This Row],[Reduction Bus CO Emissions (tons/yr)]]*Table2[[#This Row],[Remaining Life:]])</f>
        <v/>
      </c>
      <c r="BX182" s="194" t="str">
        <f>IF(Table2[[#This Row],[Counter Number]]="","",IF(Table2[[#This Row],[Lifetime CO Reduction (tons)]]=0,"NA",Table2[[#This Row],[Upgrade Cost Per Unit]]/Table2[[#This Row],[Lifetime CO Reduction (tons)]]))</f>
        <v/>
      </c>
      <c r="BY182" s="180" t="str">
        <f>IF(Table2[[#This Row],[Counter Number]]="","",Table2[[#This Row],[Old ULSD Used (gal):]]*VLOOKUP(Table2[[#This Row],[Engine Model Year:]],EF!$A$2:$G$27,7,FALSE))</f>
        <v/>
      </c>
      <c r="BZ18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2" s="195" t="str">
        <f>IF(Table2[[#This Row],[Counter Number]]="","",Table2[[#This Row],[Old Bus CO2 Emissions (tons/yr)]]-Table2[[#This Row],[New Bus CO2 Emissions (tons/yr)]])</f>
        <v/>
      </c>
      <c r="CB182" s="188" t="str">
        <f>IF(Table2[[#This Row],[Counter Number]]="","",Table2[[#This Row],[Reduction Bus CO2 Emissions (tons/yr)]]/Table2[[#This Row],[Old Bus CO2 Emissions (tons/yr)]])</f>
        <v/>
      </c>
      <c r="CC182" s="195" t="str">
        <f>IF(Table2[[#This Row],[Counter Number]]="","",Table2[[#This Row],[Reduction Bus CO2 Emissions (tons/yr)]]*Table2[[#This Row],[Remaining Life:]])</f>
        <v/>
      </c>
      <c r="CD182" s="194" t="str">
        <f>IF(Table2[[#This Row],[Counter Number]]="","",IF(Table2[[#This Row],[Lifetime CO2 Reduction (tons)]]=0,"NA",Table2[[#This Row],[Upgrade Cost Per Unit]]/Table2[[#This Row],[Lifetime CO2 Reduction (tons)]]))</f>
        <v/>
      </c>
      <c r="CE182" s="182" t="str">
        <f>IF(Table2[[#This Row],[Counter Number]]="","",IF(Table2[[#This Row],[New ULSD Used (gal):]]="",Table2[[#This Row],[Old ULSD Used (gal):]],Table2[[#This Row],[Old ULSD Used (gal):]]-Table2[[#This Row],[New ULSD Used (gal):]]))</f>
        <v/>
      </c>
      <c r="CF182" s="196" t="str">
        <f>IF(Table2[[#This Row],[Counter Number]]="","",Table2[[#This Row],[Diesel Fuel Reduction (gal/yr)]]/Table2[[#This Row],[Old ULSD Used (gal):]])</f>
        <v/>
      </c>
      <c r="CG182" s="197" t="str">
        <f>IF(Table2[[#This Row],[Counter Number]]="","",Table2[[#This Row],[Diesel Fuel Reduction (gal/yr)]]*Table2[[#This Row],[Remaining Life:]])</f>
        <v/>
      </c>
    </row>
    <row r="183" spans="1:85">
      <c r="A183" s="184" t="str">
        <f>IF(A117&lt;Application!$D$24,A117+1,"")</f>
        <v/>
      </c>
      <c r="B183" s="60" t="str">
        <f>IF(Table2[[#This Row],[Counter Number]]="","",Application!$D$16)</f>
        <v/>
      </c>
      <c r="C183" s="60" t="str">
        <f>IF(Table2[[#This Row],[Counter Number]]="","",Application!$D$14)</f>
        <v/>
      </c>
      <c r="D183" s="60" t="str">
        <f>IF(Table2[[#This Row],[Counter Number]]="","",Table1[[#This Row],[Old Bus Number]])</f>
        <v/>
      </c>
      <c r="E183" s="60" t="str">
        <f>IF(Table2[[#This Row],[Counter Number]]="","",Application!$D$15)</f>
        <v/>
      </c>
      <c r="F183" s="60" t="str">
        <f>IF(Table2[[#This Row],[Counter Number]]="","","On Highway")</f>
        <v/>
      </c>
      <c r="G183" s="60" t="str">
        <f>IF(Table2[[#This Row],[Counter Number]]="","",I183)</f>
        <v/>
      </c>
      <c r="H183" s="60" t="str">
        <f>IF(Table2[[#This Row],[Counter Number]]="","","Georgia")</f>
        <v/>
      </c>
      <c r="I183" s="60" t="str">
        <f>IF(Table2[[#This Row],[Counter Number]]="","",Application!$D$16)</f>
        <v/>
      </c>
      <c r="J183" s="60" t="str">
        <f>IF(Table2[[#This Row],[Counter Number]]="","",Application!$D$21)</f>
        <v/>
      </c>
      <c r="K183" s="60" t="str">
        <f>IF(Table2[[#This Row],[Counter Number]]="","",Application!$J$21)</f>
        <v/>
      </c>
      <c r="L183" s="60" t="str">
        <f>IF(Table2[[#This Row],[Counter Number]]="","","School Bus")</f>
        <v/>
      </c>
      <c r="M183" s="60" t="str">
        <f>IF(Table2[[#This Row],[Counter Number]]="","","School Bus")</f>
        <v/>
      </c>
      <c r="N183" s="60" t="str">
        <f>IF(Table2[[#This Row],[Counter Number]]="","",1)</f>
        <v/>
      </c>
      <c r="O183" s="60" t="str">
        <f>IF(Table2[[#This Row],[Counter Number]]="","",Table1[[#This Row],[Vehicle Identification Number(s):]])</f>
        <v/>
      </c>
      <c r="P183" s="60" t="str">
        <f>IF(Table2[[#This Row],[Counter Number]]="","",Table1[[#This Row],[Old Bus Manufacturer:]])</f>
        <v/>
      </c>
      <c r="Q183" s="60" t="str">
        <f>IF(Table2[[#This Row],[Counter Number]]="","",Table1[[#This Row],[Vehicle Model:]])</f>
        <v/>
      </c>
      <c r="R183" s="165" t="str">
        <f>IF(Table2[[#This Row],[Counter Number]]="","",Table1[[#This Row],[Vehicle Model Year:]])</f>
        <v/>
      </c>
      <c r="S183" s="60" t="str">
        <f>IF(Table2[[#This Row],[Counter Number]]="","",Table1[[#This Row],[Engine Serial Number(s):]])</f>
        <v/>
      </c>
      <c r="T183" s="60" t="str">
        <f>IF(Table2[[#This Row],[Counter Number]]="","",Table1[[#This Row],[Engine Make:]])</f>
        <v/>
      </c>
      <c r="U183" s="60" t="str">
        <f>IF(Table2[[#This Row],[Counter Number]]="","",Table1[[#This Row],[Engine Model:]])</f>
        <v/>
      </c>
      <c r="V183" s="165" t="str">
        <f>IF(Table2[[#This Row],[Counter Number]]="","",Table1[[#This Row],[Engine Model Year:]])</f>
        <v/>
      </c>
      <c r="W183" s="60" t="str">
        <f>IF(Table2[[#This Row],[Counter Number]]="","","NA")</f>
        <v/>
      </c>
      <c r="X183" s="165" t="str">
        <f>IF(Table2[[#This Row],[Counter Number]]="","",Table1[[#This Row],[Engine Horsepower (HP):]])</f>
        <v/>
      </c>
      <c r="Y183" s="165" t="str">
        <f>IF(Table2[[#This Row],[Counter Number]]="","",Table1[[#This Row],[Engine Cylinder Displacement (L):]]&amp;" L")</f>
        <v/>
      </c>
      <c r="Z183" s="165" t="str">
        <f>IF(Table2[[#This Row],[Counter Number]]="","",Table1[[#This Row],[Engine Number of Cylinders:]])</f>
        <v/>
      </c>
      <c r="AA183" s="166" t="str">
        <f>IF(Table2[[#This Row],[Counter Number]]="","",Table1[[#This Row],[Engine Family Name:]])</f>
        <v/>
      </c>
      <c r="AB183" s="60" t="str">
        <f>IF(Table2[[#This Row],[Counter Number]]="","","ULSD")</f>
        <v/>
      </c>
      <c r="AC183" s="167" t="str">
        <f>IF(Table2[[#This Row],[Counter Number]]="","",Table2[[#This Row],[Annual Miles Traveled:]]/Table1[[#This Row],[Old Fuel (mpg)]])</f>
        <v/>
      </c>
      <c r="AD183" s="60" t="str">
        <f>IF(Table2[[#This Row],[Counter Number]]="","","NA")</f>
        <v/>
      </c>
      <c r="AE183" s="168" t="str">
        <f>IF(Table2[[#This Row],[Counter Number]]="","",Table1[[#This Row],[Annual Miles Traveled]])</f>
        <v/>
      </c>
      <c r="AF183" s="169" t="str">
        <f>IF(Table2[[#This Row],[Counter Number]]="","",Table1[[#This Row],[Annual Idling Hours:]])</f>
        <v/>
      </c>
      <c r="AG183" s="60" t="str">
        <f>IF(Table2[[#This Row],[Counter Number]]="","","NA")</f>
        <v/>
      </c>
      <c r="AH183" s="165" t="str">
        <f>IF(Table2[[#This Row],[Counter Number]]="","",IF(Application!$J$25="Set Policy",Table1[[#This Row],[Remaining Life (years)         Set Policy]],Table1[[#This Row],[Remaining Life (years)               Case-by-Case]]))</f>
        <v/>
      </c>
      <c r="AI183" s="165" t="str">
        <f>IF(Table2[[#This Row],[Counter Number]]="","",IF(Application!$J$25="Case-by-Case","NA",Table2[[#This Row],[Fiscal Year of EPA Funds Used:]]+Table2[[#This Row],[Remaining Life:]]))</f>
        <v/>
      </c>
      <c r="AJ183" s="165"/>
      <c r="AK183" s="170" t="str">
        <f>IF(Table2[[#This Row],[Counter Number]]="","",Application!$D$14+1)</f>
        <v/>
      </c>
      <c r="AL183" s="60" t="str">
        <f>IF(Table2[[#This Row],[Counter Number]]="","","Vehicle Replacement")</f>
        <v/>
      </c>
      <c r="AM18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3" s="171" t="str">
        <f>IF(Table2[[#This Row],[Counter Number]]="","",Table1[[#This Row],[Cost of New Bus:]])</f>
        <v/>
      </c>
      <c r="AO183" s="60" t="str">
        <f>IF(Table2[[#This Row],[Counter Number]]="","","NA")</f>
        <v/>
      </c>
      <c r="AP183" s="165" t="str">
        <f>IF(Table2[[#This Row],[Counter Number]]="","",Table1[[#This Row],[New Engine Model Year:]])</f>
        <v/>
      </c>
      <c r="AQ183" s="60" t="str">
        <f>IF(Table2[[#This Row],[Counter Number]]="","","NA")</f>
        <v/>
      </c>
      <c r="AR183" s="165" t="str">
        <f>IF(Table2[[#This Row],[Counter Number]]="","",Table1[[#This Row],[New Engine Horsepower (HP):]])</f>
        <v/>
      </c>
      <c r="AS183" s="60" t="str">
        <f>IF(Table2[[#This Row],[Counter Number]]="","","NA")</f>
        <v/>
      </c>
      <c r="AT183" s="165" t="str">
        <f>IF(Table2[[#This Row],[Counter Number]]="","",Table1[[#This Row],[New Engine Cylinder Displacement (L):]]&amp;" L")</f>
        <v/>
      </c>
      <c r="AU183" s="114" t="str">
        <f>IF(Table2[[#This Row],[Counter Number]]="","",Table1[[#This Row],[New Engine Number of Cylinders:]])</f>
        <v/>
      </c>
      <c r="AV183" s="60" t="str">
        <f>IF(Table2[[#This Row],[Counter Number]]="","",Table1[[#This Row],[New Engine Family Name:]])</f>
        <v/>
      </c>
      <c r="AW18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3" s="60" t="str">
        <f>IF(Table2[[#This Row],[Counter Number]]="","","NA")</f>
        <v/>
      </c>
      <c r="AY183" s="172" t="str">
        <f>IF(Table2[[#This Row],[Counter Number]]="","",IF(Table2[[#This Row],[New Engine Fuel Type:]]="ULSD",Table1[[#This Row],[Annual Miles Traveled]]/Table1[[#This Row],[New Fuel (mpg) if Diesel]],""))</f>
        <v/>
      </c>
      <c r="AZ183" s="60"/>
      <c r="BA183" s="173" t="str">
        <f>IF(Table2[[#This Row],[Counter Number]]="","",Table2[[#This Row],[Annual Miles Traveled:]]*VLOOKUP(Table2[[#This Row],[Engine Model Year:]],EFTable[],3,FALSE))</f>
        <v/>
      </c>
      <c r="BB183" s="173" t="str">
        <f>IF(Table2[[#This Row],[Counter Number]]="","",Table2[[#This Row],[Annual Miles Traveled:]]*IF(Table2[[#This Row],[New Engine Fuel Type:]]="ULSD",VLOOKUP(Table2[[#This Row],[New Engine Model Year:]],EFTable[],3,FALSE),VLOOKUP(Table2[[#This Row],[New Engine Fuel Type:]],EFTable[],3,FALSE)))</f>
        <v/>
      </c>
      <c r="BC183" s="187" t="str">
        <f>IF(Table2[[#This Row],[Counter Number]]="","",Table2[[#This Row],[Old Bus NOx Emissions (tons/yr)]]-Table2[[#This Row],[New Bus NOx Emissions (tons/yr)]])</f>
        <v/>
      </c>
      <c r="BD183" s="188" t="str">
        <f>IF(Table2[[#This Row],[Counter Number]]="","",Table2[[#This Row],[Reduction Bus NOx Emissions (tons/yr)]]/Table2[[#This Row],[Old Bus NOx Emissions (tons/yr)]])</f>
        <v/>
      </c>
      <c r="BE183" s="175" t="str">
        <f>IF(Table2[[#This Row],[Counter Number]]="","",Table2[[#This Row],[Reduction Bus NOx Emissions (tons/yr)]]*Table2[[#This Row],[Remaining Life:]])</f>
        <v/>
      </c>
      <c r="BF183" s="189" t="str">
        <f>IF(Table2[[#This Row],[Counter Number]]="","",IF(Table2[[#This Row],[Lifetime NOx Reduction (tons)]]=0,"NA",Table2[[#This Row],[Upgrade Cost Per Unit]]/Table2[[#This Row],[Lifetime NOx Reduction (tons)]]))</f>
        <v/>
      </c>
      <c r="BG183" s="190" t="str">
        <f>IF(Table2[[#This Row],[Counter Number]]="","",Table2[[#This Row],[Annual Miles Traveled:]]*VLOOKUP(Table2[[#This Row],[Engine Model Year:]],EF!$A$2:$G$27,4,FALSE))</f>
        <v/>
      </c>
      <c r="BH183" s="173" t="str">
        <f>IF(Table2[[#This Row],[Counter Number]]="","",Table2[[#This Row],[Annual Miles Traveled:]]*IF(Table2[[#This Row],[New Engine Fuel Type:]]="ULSD",VLOOKUP(Table2[[#This Row],[New Engine Model Year:]],EFTable[],4,FALSE),VLOOKUP(Table2[[#This Row],[New Engine Fuel Type:]],EFTable[],4,FALSE)))</f>
        <v/>
      </c>
      <c r="BI183" s="191" t="str">
        <f>IF(Table2[[#This Row],[Counter Number]]="","",Table2[[#This Row],[Old Bus PM2.5 Emissions (tons/yr)]]-Table2[[#This Row],[New Bus PM2.5 Emissions (tons/yr)]])</f>
        <v/>
      </c>
      <c r="BJ183" s="192" t="str">
        <f>IF(Table2[[#This Row],[Counter Number]]="","",Table2[[#This Row],[Reduction Bus PM2.5 Emissions (tons/yr)]]/Table2[[#This Row],[Old Bus PM2.5 Emissions (tons/yr)]])</f>
        <v/>
      </c>
      <c r="BK183" s="193" t="str">
        <f>IF(Table2[[#This Row],[Counter Number]]="","",Table2[[#This Row],[Reduction Bus PM2.5 Emissions (tons/yr)]]*Table2[[#This Row],[Remaining Life:]])</f>
        <v/>
      </c>
      <c r="BL183" s="194" t="str">
        <f>IF(Table2[[#This Row],[Counter Number]]="","",IF(Table2[[#This Row],[Lifetime PM2.5 Reduction (tons)]]=0,"NA",Table2[[#This Row],[Upgrade Cost Per Unit]]/Table2[[#This Row],[Lifetime PM2.5 Reduction (tons)]]))</f>
        <v/>
      </c>
      <c r="BM183" s="179" t="str">
        <f>IF(Table2[[#This Row],[Counter Number]]="","",Table2[[#This Row],[Annual Miles Traveled:]]*VLOOKUP(Table2[[#This Row],[Engine Model Year:]],EF!$A$2:$G$40,5,FALSE))</f>
        <v/>
      </c>
      <c r="BN183" s="173" t="str">
        <f>IF(Table2[[#This Row],[Counter Number]]="","",Table2[[#This Row],[Annual Miles Traveled:]]*IF(Table2[[#This Row],[New Engine Fuel Type:]]="ULSD",VLOOKUP(Table2[[#This Row],[New Engine Model Year:]],EFTable[],5,FALSE),VLOOKUP(Table2[[#This Row],[New Engine Fuel Type:]],EFTable[],5,FALSE)))</f>
        <v/>
      </c>
      <c r="BO183" s="190" t="str">
        <f>IF(Table2[[#This Row],[Counter Number]]="","",Table2[[#This Row],[Old Bus HC Emissions (tons/yr)]]-Table2[[#This Row],[New Bus HC Emissions (tons/yr)]])</f>
        <v/>
      </c>
      <c r="BP183" s="188" t="str">
        <f>IF(Table2[[#This Row],[Counter Number]]="","",Table2[[#This Row],[Reduction Bus HC Emissions (tons/yr)]]/Table2[[#This Row],[Old Bus HC Emissions (tons/yr)]])</f>
        <v/>
      </c>
      <c r="BQ183" s="193" t="str">
        <f>IF(Table2[[#This Row],[Counter Number]]="","",Table2[[#This Row],[Reduction Bus HC Emissions (tons/yr)]]*Table2[[#This Row],[Remaining Life:]])</f>
        <v/>
      </c>
      <c r="BR183" s="194" t="str">
        <f>IF(Table2[[#This Row],[Counter Number]]="","",IF(Table2[[#This Row],[Lifetime HC Reduction (tons)]]=0,"NA",Table2[[#This Row],[Upgrade Cost Per Unit]]/Table2[[#This Row],[Lifetime HC Reduction (tons)]]))</f>
        <v/>
      </c>
      <c r="BS183" s="191" t="str">
        <f>IF(Table2[[#This Row],[Counter Number]]="","",Table2[[#This Row],[Annual Miles Traveled:]]*VLOOKUP(Table2[[#This Row],[Engine Model Year:]],EF!$A$2:$G$27,6,FALSE))</f>
        <v/>
      </c>
      <c r="BT183" s="173" t="str">
        <f>IF(Table2[[#This Row],[Counter Number]]="","",Table2[[#This Row],[Annual Miles Traveled:]]*IF(Table2[[#This Row],[New Engine Fuel Type:]]="ULSD",VLOOKUP(Table2[[#This Row],[New Engine Model Year:]],EFTable[],6,FALSE),VLOOKUP(Table2[[#This Row],[New Engine Fuel Type:]],EFTable[],6,FALSE)))</f>
        <v/>
      </c>
      <c r="BU183" s="190" t="str">
        <f>IF(Table2[[#This Row],[Counter Number]]="","",Table2[[#This Row],[Old Bus CO Emissions (tons/yr)]]-Table2[[#This Row],[New Bus CO Emissions (tons/yr)]])</f>
        <v/>
      </c>
      <c r="BV183" s="188" t="str">
        <f>IF(Table2[[#This Row],[Counter Number]]="","",Table2[[#This Row],[Reduction Bus CO Emissions (tons/yr)]]/Table2[[#This Row],[Old Bus CO Emissions (tons/yr)]])</f>
        <v/>
      </c>
      <c r="BW183" s="193" t="str">
        <f>IF(Table2[[#This Row],[Counter Number]]="","",Table2[[#This Row],[Reduction Bus CO Emissions (tons/yr)]]*Table2[[#This Row],[Remaining Life:]])</f>
        <v/>
      </c>
      <c r="BX183" s="194" t="str">
        <f>IF(Table2[[#This Row],[Counter Number]]="","",IF(Table2[[#This Row],[Lifetime CO Reduction (tons)]]=0,"NA",Table2[[#This Row],[Upgrade Cost Per Unit]]/Table2[[#This Row],[Lifetime CO Reduction (tons)]]))</f>
        <v/>
      </c>
      <c r="BY183" s="180" t="str">
        <f>IF(Table2[[#This Row],[Counter Number]]="","",Table2[[#This Row],[Old ULSD Used (gal):]]*VLOOKUP(Table2[[#This Row],[Engine Model Year:]],EF!$A$2:$G$27,7,FALSE))</f>
        <v/>
      </c>
      <c r="BZ18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3" s="195" t="str">
        <f>IF(Table2[[#This Row],[Counter Number]]="","",Table2[[#This Row],[Old Bus CO2 Emissions (tons/yr)]]-Table2[[#This Row],[New Bus CO2 Emissions (tons/yr)]])</f>
        <v/>
      </c>
      <c r="CB183" s="188" t="str">
        <f>IF(Table2[[#This Row],[Counter Number]]="","",Table2[[#This Row],[Reduction Bus CO2 Emissions (tons/yr)]]/Table2[[#This Row],[Old Bus CO2 Emissions (tons/yr)]])</f>
        <v/>
      </c>
      <c r="CC183" s="195" t="str">
        <f>IF(Table2[[#This Row],[Counter Number]]="","",Table2[[#This Row],[Reduction Bus CO2 Emissions (tons/yr)]]*Table2[[#This Row],[Remaining Life:]])</f>
        <v/>
      </c>
      <c r="CD183" s="194" t="str">
        <f>IF(Table2[[#This Row],[Counter Number]]="","",IF(Table2[[#This Row],[Lifetime CO2 Reduction (tons)]]=0,"NA",Table2[[#This Row],[Upgrade Cost Per Unit]]/Table2[[#This Row],[Lifetime CO2 Reduction (tons)]]))</f>
        <v/>
      </c>
      <c r="CE183" s="182" t="str">
        <f>IF(Table2[[#This Row],[Counter Number]]="","",IF(Table2[[#This Row],[New ULSD Used (gal):]]="",Table2[[#This Row],[Old ULSD Used (gal):]],Table2[[#This Row],[Old ULSD Used (gal):]]-Table2[[#This Row],[New ULSD Used (gal):]]))</f>
        <v/>
      </c>
      <c r="CF183" s="196" t="str">
        <f>IF(Table2[[#This Row],[Counter Number]]="","",Table2[[#This Row],[Diesel Fuel Reduction (gal/yr)]]/Table2[[#This Row],[Old ULSD Used (gal):]])</f>
        <v/>
      </c>
      <c r="CG183" s="197" t="str">
        <f>IF(Table2[[#This Row],[Counter Number]]="","",Table2[[#This Row],[Diesel Fuel Reduction (gal/yr)]]*Table2[[#This Row],[Remaining Life:]])</f>
        <v/>
      </c>
    </row>
    <row r="184" spans="1:85">
      <c r="A184" s="184" t="str">
        <f>IF(A118&lt;Application!$D$24,A118+1,"")</f>
        <v/>
      </c>
      <c r="B184" s="60" t="str">
        <f>IF(Table2[[#This Row],[Counter Number]]="","",Application!$D$16)</f>
        <v/>
      </c>
      <c r="C184" s="60" t="str">
        <f>IF(Table2[[#This Row],[Counter Number]]="","",Application!$D$14)</f>
        <v/>
      </c>
      <c r="D184" s="60" t="str">
        <f>IF(Table2[[#This Row],[Counter Number]]="","",Table1[[#This Row],[Old Bus Number]])</f>
        <v/>
      </c>
      <c r="E184" s="60" t="str">
        <f>IF(Table2[[#This Row],[Counter Number]]="","",Application!$D$15)</f>
        <v/>
      </c>
      <c r="F184" s="60" t="str">
        <f>IF(Table2[[#This Row],[Counter Number]]="","","On Highway")</f>
        <v/>
      </c>
      <c r="G184" s="60" t="str">
        <f>IF(Table2[[#This Row],[Counter Number]]="","",I184)</f>
        <v/>
      </c>
      <c r="H184" s="60" t="str">
        <f>IF(Table2[[#This Row],[Counter Number]]="","","Georgia")</f>
        <v/>
      </c>
      <c r="I184" s="60" t="str">
        <f>IF(Table2[[#This Row],[Counter Number]]="","",Application!$D$16)</f>
        <v/>
      </c>
      <c r="J184" s="60" t="str">
        <f>IF(Table2[[#This Row],[Counter Number]]="","",Application!$D$21)</f>
        <v/>
      </c>
      <c r="K184" s="60" t="str">
        <f>IF(Table2[[#This Row],[Counter Number]]="","",Application!$J$21)</f>
        <v/>
      </c>
      <c r="L184" s="60" t="str">
        <f>IF(Table2[[#This Row],[Counter Number]]="","","School Bus")</f>
        <v/>
      </c>
      <c r="M184" s="60" t="str">
        <f>IF(Table2[[#This Row],[Counter Number]]="","","School Bus")</f>
        <v/>
      </c>
      <c r="N184" s="60" t="str">
        <f>IF(Table2[[#This Row],[Counter Number]]="","",1)</f>
        <v/>
      </c>
      <c r="O184" s="60" t="str">
        <f>IF(Table2[[#This Row],[Counter Number]]="","",Table1[[#This Row],[Vehicle Identification Number(s):]])</f>
        <v/>
      </c>
      <c r="P184" s="60" t="str">
        <f>IF(Table2[[#This Row],[Counter Number]]="","",Table1[[#This Row],[Old Bus Manufacturer:]])</f>
        <v/>
      </c>
      <c r="Q184" s="60" t="str">
        <f>IF(Table2[[#This Row],[Counter Number]]="","",Table1[[#This Row],[Vehicle Model:]])</f>
        <v/>
      </c>
      <c r="R184" s="165" t="str">
        <f>IF(Table2[[#This Row],[Counter Number]]="","",Table1[[#This Row],[Vehicle Model Year:]])</f>
        <v/>
      </c>
      <c r="S184" s="60" t="str">
        <f>IF(Table2[[#This Row],[Counter Number]]="","",Table1[[#This Row],[Engine Serial Number(s):]])</f>
        <v/>
      </c>
      <c r="T184" s="60" t="str">
        <f>IF(Table2[[#This Row],[Counter Number]]="","",Table1[[#This Row],[Engine Make:]])</f>
        <v/>
      </c>
      <c r="U184" s="60" t="str">
        <f>IF(Table2[[#This Row],[Counter Number]]="","",Table1[[#This Row],[Engine Model:]])</f>
        <v/>
      </c>
      <c r="V184" s="165" t="str">
        <f>IF(Table2[[#This Row],[Counter Number]]="","",Table1[[#This Row],[Engine Model Year:]])</f>
        <v/>
      </c>
      <c r="W184" s="60" t="str">
        <f>IF(Table2[[#This Row],[Counter Number]]="","","NA")</f>
        <v/>
      </c>
      <c r="X184" s="165" t="str">
        <f>IF(Table2[[#This Row],[Counter Number]]="","",Table1[[#This Row],[Engine Horsepower (HP):]])</f>
        <v/>
      </c>
      <c r="Y184" s="165" t="str">
        <f>IF(Table2[[#This Row],[Counter Number]]="","",Table1[[#This Row],[Engine Cylinder Displacement (L):]]&amp;" L")</f>
        <v/>
      </c>
      <c r="Z184" s="165" t="str">
        <f>IF(Table2[[#This Row],[Counter Number]]="","",Table1[[#This Row],[Engine Number of Cylinders:]])</f>
        <v/>
      </c>
      <c r="AA184" s="166" t="str">
        <f>IF(Table2[[#This Row],[Counter Number]]="","",Table1[[#This Row],[Engine Family Name:]])</f>
        <v/>
      </c>
      <c r="AB184" s="60" t="str">
        <f>IF(Table2[[#This Row],[Counter Number]]="","","ULSD")</f>
        <v/>
      </c>
      <c r="AC184" s="167" t="str">
        <f>IF(Table2[[#This Row],[Counter Number]]="","",Table2[[#This Row],[Annual Miles Traveled:]]/Table1[[#This Row],[Old Fuel (mpg)]])</f>
        <v/>
      </c>
      <c r="AD184" s="60" t="str">
        <f>IF(Table2[[#This Row],[Counter Number]]="","","NA")</f>
        <v/>
      </c>
      <c r="AE184" s="168" t="str">
        <f>IF(Table2[[#This Row],[Counter Number]]="","",Table1[[#This Row],[Annual Miles Traveled]])</f>
        <v/>
      </c>
      <c r="AF184" s="169" t="str">
        <f>IF(Table2[[#This Row],[Counter Number]]="","",Table1[[#This Row],[Annual Idling Hours:]])</f>
        <v/>
      </c>
      <c r="AG184" s="60" t="str">
        <f>IF(Table2[[#This Row],[Counter Number]]="","","NA")</f>
        <v/>
      </c>
      <c r="AH184" s="165" t="str">
        <f>IF(Table2[[#This Row],[Counter Number]]="","",IF(Application!$J$25="Set Policy",Table1[[#This Row],[Remaining Life (years)         Set Policy]],Table1[[#This Row],[Remaining Life (years)               Case-by-Case]]))</f>
        <v/>
      </c>
      <c r="AI184" s="165" t="str">
        <f>IF(Table2[[#This Row],[Counter Number]]="","",IF(Application!$J$25="Case-by-Case","NA",Table2[[#This Row],[Fiscal Year of EPA Funds Used:]]+Table2[[#This Row],[Remaining Life:]]))</f>
        <v/>
      </c>
      <c r="AJ184" s="165"/>
      <c r="AK184" s="170" t="str">
        <f>IF(Table2[[#This Row],[Counter Number]]="","",Application!$D$14+1)</f>
        <v/>
      </c>
      <c r="AL184" s="60" t="str">
        <f>IF(Table2[[#This Row],[Counter Number]]="","","Vehicle Replacement")</f>
        <v/>
      </c>
      <c r="AM18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4" s="171" t="str">
        <f>IF(Table2[[#This Row],[Counter Number]]="","",Table1[[#This Row],[Cost of New Bus:]])</f>
        <v/>
      </c>
      <c r="AO184" s="60" t="str">
        <f>IF(Table2[[#This Row],[Counter Number]]="","","NA")</f>
        <v/>
      </c>
      <c r="AP184" s="165" t="str">
        <f>IF(Table2[[#This Row],[Counter Number]]="","",Table1[[#This Row],[New Engine Model Year:]])</f>
        <v/>
      </c>
      <c r="AQ184" s="60" t="str">
        <f>IF(Table2[[#This Row],[Counter Number]]="","","NA")</f>
        <v/>
      </c>
      <c r="AR184" s="165" t="str">
        <f>IF(Table2[[#This Row],[Counter Number]]="","",Table1[[#This Row],[New Engine Horsepower (HP):]])</f>
        <v/>
      </c>
      <c r="AS184" s="60" t="str">
        <f>IF(Table2[[#This Row],[Counter Number]]="","","NA")</f>
        <v/>
      </c>
      <c r="AT184" s="165" t="str">
        <f>IF(Table2[[#This Row],[Counter Number]]="","",Table1[[#This Row],[New Engine Cylinder Displacement (L):]]&amp;" L")</f>
        <v/>
      </c>
      <c r="AU184" s="114" t="str">
        <f>IF(Table2[[#This Row],[Counter Number]]="","",Table1[[#This Row],[New Engine Number of Cylinders:]])</f>
        <v/>
      </c>
      <c r="AV184" s="60" t="str">
        <f>IF(Table2[[#This Row],[Counter Number]]="","",Table1[[#This Row],[New Engine Family Name:]])</f>
        <v/>
      </c>
      <c r="AW18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4" s="60" t="str">
        <f>IF(Table2[[#This Row],[Counter Number]]="","","NA")</f>
        <v/>
      </c>
      <c r="AY184" s="172" t="str">
        <f>IF(Table2[[#This Row],[Counter Number]]="","",IF(Table2[[#This Row],[New Engine Fuel Type:]]="ULSD",Table1[[#This Row],[Annual Miles Traveled]]/Table1[[#This Row],[New Fuel (mpg) if Diesel]],""))</f>
        <v/>
      </c>
      <c r="AZ184" s="60"/>
      <c r="BA184" s="173" t="str">
        <f>IF(Table2[[#This Row],[Counter Number]]="","",Table2[[#This Row],[Annual Miles Traveled:]]*VLOOKUP(Table2[[#This Row],[Engine Model Year:]],EFTable[],3,FALSE))</f>
        <v/>
      </c>
      <c r="BB184" s="173" t="str">
        <f>IF(Table2[[#This Row],[Counter Number]]="","",Table2[[#This Row],[Annual Miles Traveled:]]*IF(Table2[[#This Row],[New Engine Fuel Type:]]="ULSD",VLOOKUP(Table2[[#This Row],[New Engine Model Year:]],EFTable[],3,FALSE),VLOOKUP(Table2[[#This Row],[New Engine Fuel Type:]],EFTable[],3,FALSE)))</f>
        <v/>
      </c>
      <c r="BC184" s="187" t="str">
        <f>IF(Table2[[#This Row],[Counter Number]]="","",Table2[[#This Row],[Old Bus NOx Emissions (tons/yr)]]-Table2[[#This Row],[New Bus NOx Emissions (tons/yr)]])</f>
        <v/>
      </c>
      <c r="BD184" s="188" t="str">
        <f>IF(Table2[[#This Row],[Counter Number]]="","",Table2[[#This Row],[Reduction Bus NOx Emissions (tons/yr)]]/Table2[[#This Row],[Old Bus NOx Emissions (tons/yr)]])</f>
        <v/>
      </c>
      <c r="BE184" s="175" t="str">
        <f>IF(Table2[[#This Row],[Counter Number]]="","",Table2[[#This Row],[Reduction Bus NOx Emissions (tons/yr)]]*Table2[[#This Row],[Remaining Life:]])</f>
        <v/>
      </c>
      <c r="BF184" s="189" t="str">
        <f>IF(Table2[[#This Row],[Counter Number]]="","",IF(Table2[[#This Row],[Lifetime NOx Reduction (tons)]]=0,"NA",Table2[[#This Row],[Upgrade Cost Per Unit]]/Table2[[#This Row],[Lifetime NOx Reduction (tons)]]))</f>
        <v/>
      </c>
      <c r="BG184" s="190" t="str">
        <f>IF(Table2[[#This Row],[Counter Number]]="","",Table2[[#This Row],[Annual Miles Traveled:]]*VLOOKUP(Table2[[#This Row],[Engine Model Year:]],EF!$A$2:$G$27,4,FALSE))</f>
        <v/>
      </c>
      <c r="BH184" s="173" t="str">
        <f>IF(Table2[[#This Row],[Counter Number]]="","",Table2[[#This Row],[Annual Miles Traveled:]]*IF(Table2[[#This Row],[New Engine Fuel Type:]]="ULSD",VLOOKUP(Table2[[#This Row],[New Engine Model Year:]],EFTable[],4,FALSE),VLOOKUP(Table2[[#This Row],[New Engine Fuel Type:]],EFTable[],4,FALSE)))</f>
        <v/>
      </c>
      <c r="BI184" s="191" t="str">
        <f>IF(Table2[[#This Row],[Counter Number]]="","",Table2[[#This Row],[Old Bus PM2.5 Emissions (tons/yr)]]-Table2[[#This Row],[New Bus PM2.5 Emissions (tons/yr)]])</f>
        <v/>
      </c>
      <c r="BJ184" s="192" t="str">
        <f>IF(Table2[[#This Row],[Counter Number]]="","",Table2[[#This Row],[Reduction Bus PM2.5 Emissions (tons/yr)]]/Table2[[#This Row],[Old Bus PM2.5 Emissions (tons/yr)]])</f>
        <v/>
      </c>
      <c r="BK184" s="193" t="str">
        <f>IF(Table2[[#This Row],[Counter Number]]="","",Table2[[#This Row],[Reduction Bus PM2.5 Emissions (tons/yr)]]*Table2[[#This Row],[Remaining Life:]])</f>
        <v/>
      </c>
      <c r="BL184" s="194" t="str">
        <f>IF(Table2[[#This Row],[Counter Number]]="","",IF(Table2[[#This Row],[Lifetime PM2.5 Reduction (tons)]]=0,"NA",Table2[[#This Row],[Upgrade Cost Per Unit]]/Table2[[#This Row],[Lifetime PM2.5 Reduction (tons)]]))</f>
        <v/>
      </c>
      <c r="BM184" s="179" t="str">
        <f>IF(Table2[[#This Row],[Counter Number]]="","",Table2[[#This Row],[Annual Miles Traveled:]]*VLOOKUP(Table2[[#This Row],[Engine Model Year:]],EF!$A$2:$G$40,5,FALSE))</f>
        <v/>
      </c>
      <c r="BN184" s="173" t="str">
        <f>IF(Table2[[#This Row],[Counter Number]]="","",Table2[[#This Row],[Annual Miles Traveled:]]*IF(Table2[[#This Row],[New Engine Fuel Type:]]="ULSD",VLOOKUP(Table2[[#This Row],[New Engine Model Year:]],EFTable[],5,FALSE),VLOOKUP(Table2[[#This Row],[New Engine Fuel Type:]],EFTable[],5,FALSE)))</f>
        <v/>
      </c>
      <c r="BO184" s="190" t="str">
        <f>IF(Table2[[#This Row],[Counter Number]]="","",Table2[[#This Row],[Old Bus HC Emissions (tons/yr)]]-Table2[[#This Row],[New Bus HC Emissions (tons/yr)]])</f>
        <v/>
      </c>
      <c r="BP184" s="188" t="str">
        <f>IF(Table2[[#This Row],[Counter Number]]="","",Table2[[#This Row],[Reduction Bus HC Emissions (tons/yr)]]/Table2[[#This Row],[Old Bus HC Emissions (tons/yr)]])</f>
        <v/>
      </c>
      <c r="BQ184" s="193" t="str">
        <f>IF(Table2[[#This Row],[Counter Number]]="","",Table2[[#This Row],[Reduction Bus HC Emissions (tons/yr)]]*Table2[[#This Row],[Remaining Life:]])</f>
        <v/>
      </c>
      <c r="BR184" s="194" t="str">
        <f>IF(Table2[[#This Row],[Counter Number]]="","",IF(Table2[[#This Row],[Lifetime HC Reduction (tons)]]=0,"NA",Table2[[#This Row],[Upgrade Cost Per Unit]]/Table2[[#This Row],[Lifetime HC Reduction (tons)]]))</f>
        <v/>
      </c>
      <c r="BS184" s="191" t="str">
        <f>IF(Table2[[#This Row],[Counter Number]]="","",Table2[[#This Row],[Annual Miles Traveled:]]*VLOOKUP(Table2[[#This Row],[Engine Model Year:]],EF!$A$2:$G$27,6,FALSE))</f>
        <v/>
      </c>
      <c r="BT184" s="173" t="str">
        <f>IF(Table2[[#This Row],[Counter Number]]="","",Table2[[#This Row],[Annual Miles Traveled:]]*IF(Table2[[#This Row],[New Engine Fuel Type:]]="ULSD",VLOOKUP(Table2[[#This Row],[New Engine Model Year:]],EFTable[],6,FALSE),VLOOKUP(Table2[[#This Row],[New Engine Fuel Type:]],EFTable[],6,FALSE)))</f>
        <v/>
      </c>
      <c r="BU184" s="190" t="str">
        <f>IF(Table2[[#This Row],[Counter Number]]="","",Table2[[#This Row],[Old Bus CO Emissions (tons/yr)]]-Table2[[#This Row],[New Bus CO Emissions (tons/yr)]])</f>
        <v/>
      </c>
      <c r="BV184" s="188" t="str">
        <f>IF(Table2[[#This Row],[Counter Number]]="","",Table2[[#This Row],[Reduction Bus CO Emissions (tons/yr)]]/Table2[[#This Row],[Old Bus CO Emissions (tons/yr)]])</f>
        <v/>
      </c>
      <c r="BW184" s="193" t="str">
        <f>IF(Table2[[#This Row],[Counter Number]]="","",Table2[[#This Row],[Reduction Bus CO Emissions (tons/yr)]]*Table2[[#This Row],[Remaining Life:]])</f>
        <v/>
      </c>
      <c r="BX184" s="194" t="str">
        <f>IF(Table2[[#This Row],[Counter Number]]="","",IF(Table2[[#This Row],[Lifetime CO Reduction (tons)]]=0,"NA",Table2[[#This Row],[Upgrade Cost Per Unit]]/Table2[[#This Row],[Lifetime CO Reduction (tons)]]))</f>
        <v/>
      </c>
      <c r="BY184" s="180" t="str">
        <f>IF(Table2[[#This Row],[Counter Number]]="","",Table2[[#This Row],[Old ULSD Used (gal):]]*VLOOKUP(Table2[[#This Row],[Engine Model Year:]],EF!$A$2:$G$27,7,FALSE))</f>
        <v/>
      </c>
      <c r="BZ18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4" s="195" t="str">
        <f>IF(Table2[[#This Row],[Counter Number]]="","",Table2[[#This Row],[Old Bus CO2 Emissions (tons/yr)]]-Table2[[#This Row],[New Bus CO2 Emissions (tons/yr)]])</f>
        <v/>
      </c>
      <c r="CB184" s="188" t="str">
        <f>IF(Table2[[#This Row],[Counter Number]]="","",Table2[[#This Row],[Reduction Bus CO2 Emissions (tons/yr)]]/Table2[[#This Row],[Old Bus CO2 Emissions (tons/yr)]])</f>
        <v/>
      </c>
      <c r="CC184" s="195" t="str">
        <f>IF(Table2[[#This Row],[Counter Number]]="","",Table2[[#This Row],[Reduction Bus CO2 Emissions (tons/yr)]]*Table2[[#This Row],[Remaining Life:]])</f>
        <v/>
      </c>
      <c r="CD184" s="194" t="str">
        <f>IF(Table2[[#This Row],[Counter Number]]="","",IF(Table2[[#This Row],[Lifetime CO2 Reduction (tons)]]=0,"NA",Table2[[#This Row],[Upgrade Cost Per Unit]]/Table2[[#This Row],[Lifetime CO2 Reduction (tons)]]))</f>
        <v/>
      </c>
      <c r="CE184" s="182" t="str">
        <f>IF(Table2[[#This Row],[Counter Number]]="","",IF(Table2[[#This Row],[New ULSD Used (gal):]]="",Table2[[#This Row],[Old ULSD Used (gal):]],Table2[[#This Row],[Old ULSD Used (gal):]]-Table2[[#This Row],[New ULSD Used (gal):]]))</f>
        <v/>
      </c>
      <c r="CF184" s="196" t="str">
        <f>IF(Table2[[#This Row],[Counter Number]]="","",Table2[[#This Row],[Diesel Fuel Reduction (gal/yr)]]/Table2[[#This Row],[Old ULSD Used (gal):]])</f>
        <v/>
      </c>
      <c r="CG184" s="197" t="str">
        <f>IF(Table2[[#This Row],[Counter Number]]="","",Table2[[#This Row],[Diesel Fuel Reduction (gal/yr)]]*Table2[[#This Row],[Remaining Life:]])</f>
        <v/>
      </c>
    </row>
    <row r="185" spans="1:85">
      <c r="A185" s="184" t="str">
        <f>IF(A160&lt;Application!$D$24,A160+1,"")</f>
        <v/>
      </c>
      <c r="B185" s="60" t="str">
        <f>IF(Table2[[#This Row],[Counter Number]]="","",Application!$D$16)</f>
        <v/>
      </c>
      <c r="C185" s="60" t="str">
        <f>IF(Table2[[#This Row],[Counter Number]]="","",Application!$D$14)</f>
        <v/>
      </c>
      <c r="D185" s="60" t="str">
        <f>IF(Table2[[#This Row],[Counter Number]]="","",Table1[[#This Row],[Old Bus Number]])</f>
        <v/>
      </c>
      <c r="E185" s="60" t="str">
        <f>IF(Table2[[#This Row],[Counter Number]]="","",Application!$D$15)</f>
        <v/>
      </c>
      <c r="F185" s="60" t="str">
        <f>IF(Table2[[#This Row],[Counter Number]]="","","On Highway")</f>
        <v/>
      </c>
      <c r="G185" s="60" t="str">
        <f>IF(Table2[[#This Row],[Counter Number]]="","",I185)</f>
        <v/>
      </c>
      <c r="H185" s="60" t="str">
        <f>IF(Table2[[#This Row],[Counter Number]]="","","Georgia")</f>
        <v/>
      </c>
      <c r="I185" s="60" t="str">
        <f>IF(Table2[[#This Row],[Counter Number]]="","",Application!$D$16)</f>
        <v/>
      </c>
      <c r="J185" s="60" t="str">
        <f>IF(Table2[[#This Row],[Counter Number]]="","",Application!$D$21)</f>
        <v/>
      </c>
      <c r="K185" s="60" t="str">
        <f>IF(Table2[[#This Row],[Counter Number]]="","",Application!$J$21)</f>
        <v/>
      </c>
      <c r="L185" s="60" t="str">
        <f>IF(Table2[[#This Row],[Counter Number]]="","","School Bus")</f>
        <v/>
      </c>
      <c r="M185" s="60" t="str">
        <f>IF(Table2[[#This Row],[Counter Number]]="","","School Bus")</f>
        <v/>
      </c>
      <c r="N185" s="60" t="str">
        <f>IF(Table2[[#This Row],[Counter Number]]="","",1)</f>
        <v/>
      </c>
      <c r="O185" s="60" t="str">
        <f>IF(Table2[[#This Row],[Counter Number]]="","",Table1[[#This Row],[Vehicle Identification Number(s):]])</f>
        <v/>
      </c>
      <c r="P185" s="60" t="str">
        <f>IF(Table2[[#This Row],[Counter Number]]="","",Table1[[#This Row],[Old Bus Manufacturer:]])</f>
        <v/>
      </c>
      <c r="Q185" s="60" t="str">
        <f>IF(Table2[[#This Row],[Counter Number]]="","",Table1[[#This Row],[Vehicle Model:]])</f>
        <v/>
      </c>
      <c r="R185" s="165" t="str">
        <f>IF(Table2[[#This Row],[Counter Number]]="","",Table1[[#This Row],[Vehicle Model Year:]])</f>
        <v/>
      </c>
      <c r="S185" s="60" t="str">
        <f>IF(Table2[[#This Row],[Counter Number]]="","",Table1[[#This Row],[Engine Serial Number(s):]])</f>
        <v/>
      </c>
      <c r="T185" s="60" t="str">
        <f>IF(Table2[[#This Row],[Counter Number]]="","",Table1[[#This Row],[Engine Make:]])</f>
        <v/>
      </c>
      <c r="U185" s="60" t="str">
        <f>IF(Table2[[#This Row],[Counter Number]]="","",Table1[[#This Row],[Engine Model:]])</f>
        <v/>
      </c>
      <c r="V185" s="165" t="str">
        <f>IF(Table2[[#This Row],[Counter Number]]="","",Table1[[#This Row],[Engine Model Year:]])</f>
        <v/>
      </c>
      <c r="W185" s="60" t="str">
        <f>IF(Table2[[#This Row],[Counter Number]]="","","NA")</f>
        <v/>
      </c>
      <c r="X185" s="165" t="str">
        <f>IF(Table2[[#This Row],[Counter Number]]="","",Table1[[#This Row],[Engine Horsepower (HP):]])</f>
        <v/>
      </c>
      <c r="Y185" s="165" t="str">
        <f>IF(Table2[[#This Row],[Counter Number]]="","",Table1[[#This Row],[Engine Cylinder Displacement (L):]]&amp;" L")</f>
        <v/>
      </c>
      <c r="Z185" s="165" t="str">
        <f>IF(Table2[[#This Row],[Counter Number]]="","",Table1[[#This Row],[Engine Number of Cylinders:]])</f>
        <v/>
      </c>
      <c r="AA185" s="166" t="str">
        <f>IF(Table2[[#This Row],[Counter Number]]="","",Table1[[#This Row],[Engine Family Name:]])</f>
        <v/>
      </c>
      <c r="AB185" s="60" t="str">
        <f>IF(Table2[[#This Row],[Counter Number]]="","","ULSD")</f>
        <v/>
      </c>
      <c r="AC185" s="167" t="str">
        <f>IF(Table2[[#This Row],[Counter Number]]="","",Table2[[#This Row],[Annual Miles Traveled:]]/Table1[[#This Row],[Old Fuel (mpg)]])</f>
        <v/>
      </c>
      <c r="AD185" s="60" t="str">
        <f>IF(Table2[[#This Row],[Counter Number]]="","","NA")</f>
        <v/>
      </c>
      <c r="AE185" s="168" t="str">
        <f>IF(Table2[[#This Row],[Counter Number]]="","",Table1[[#This Row],[Annual Miles Traveled]])</f>
        <v/>
      </c>
      <c r="AF185" s="169" t="str">
        <f>IF(Table2[[#This Row],[Counter Number]]="","",Table1[[#This Row],[Annual Idling Hours:]])</f>
        <v/>
      </c>
      <c r="AG185" s="60" t="str">
        <f>IF(Table2[[#This Row],[Counter Number]]="","","NA")</f>
        <v/>
      </c>
      <c r="AH185" s="165" t="str">
        <f>IF(Table2[[#This Row],[Counter Number]]="","",IF(Application!$J$25="Set Policy",Table1[[#This Row],[Remaining Life (years)         Set Policy]],Table1[[#This Row],[Remaining Life (years)               Case-by-Case]]))</f>
        <v/>
      </c>
      <c r="AI185" s="165" t="str">
        <f>IF(Table2[[#This Row],[Counter Number]]="","",IF(Application!$J$25="Case-by-Case","NA",Table2[[#This Row],[Fiscal Year of EPA Funds Used:]]+Table2[[#This Row],[Remaining Life:]]))</f>
        <v/>
      </c>
      <c r="AJ185" s="165"/>
      <c r="AK185" s="170" t="str">
        <f>IF(Table2[[#This Row],[Counter Number]]="","",Application!$D$14+1)</f>
        <v/>
      </c>
      <c r="AL185" s="60" t="str">
        <f>IF(Table2[[#This Row],[Counter Number]]="","","Vehicle Replacement")</f>
        <v/>
      </c>
      <c r="AM18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5" s="171" t="str">
        <f>IF(Table2[[#This Row],[Counter Number]]="","",Table1[[#This Row],[Cost of New Bus:]])</f>
        <v/>
      </c>
      <c r="AO185" s="60" t="str">
        <f>IF(Table2[[#This Row],[Counter Number]]="","","NA")</f>
        <v/>
      </c>
      <c r="AP185" s="165" t="str">
        <f>IF(Table2[[#This Row],[Counter Number]]="","",Table1[[#This Row],[New Engine Model Year:]])</f>
        <v/>
      </c>
      <c r="AQ185" s="60" t="str">
        <f>IF(Table2[[#This Row],[Counter Number]]="","","NA")</f>
        <v/>
      </c>
      <c r="AR185" s="165" t="str">
        <f>IF(Table2[[#This Row],[Counter Number]]="","",Table1[[#This Row],[New Engine Horsepower (HP):]])</f>
        <v/>
      </c>
      <c r="AS185" s="60" t="str">
        <f>IF(Table2[[#This Row],[Counter Number]]="","","NA")</f>
        <v/>
      </c>
      <c r="AT185" s="165" t="str">
        <f>IF(Table2[[#This Row],[Counter Number]]="","",Table1[[#This Row],[New Engine Cylinder Displacement (L):]]&amp;" L")</f>
        <v/>
      </c>
      <c r="AU185" s="114" t="str">
        <f>IF(Table2[[#This Row],[Counter Number]]="","",Table1[[#This Row],[New Engine Number of Cylinders:]])</f>
        <v/>
      </c>
      <c r="AV185" s="60" t="str">
        <f>IF(Table2[[#This Row],[Counter Number]]="","",Table1[[#This Row],[New Engine Family Name:]])</f>
        <v/>
      </c>
      <c r="AW18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5" s="60" t="str">
        <f>IF(Table2[[#This Row],[Counter Number]]="","","NA")</f>
        <v/>
      </c>
      <c r="AY185" s="172" t="str">
        <f>IF(Table2[[#This Row],[Counter Number]]="","",IF(Table2[[#This Row],[New Engine Fuel Type:]]="ULSD",Table1[[#This Row],[Annual Miles Traveled]]/Table1[[#This Row],[New Fuel (mpg) if Diesel]],""))</f>
        <v/>
      </c>
      <c r="AZ185" s="60"/>
      <c r="BA185" s="173" t="str">
        <f>IF(Table2[[#This Row],[Counter Number]]="","",Table2[[#This Row],[Annual Miles Traveled:]]*VLOOKUP(Table2[[#This Row],[Engine Model Year:]],EFTable[],3,FALSE))</f>
        <v/>
      </c>
      <c r="BB185" s="173" t="str">
        <f>IF(Table2[[#This Row],[Counter Number]]="","",Table2[[#This Row],[Annual Miles Traveled:]]*IF(Table2[[#This Row],[New Engine Fuel Type:]]="ULSD",VLOOKUP(Table2[[#This Row],[New Engine Model Year:]],EFTable[],3,FALSE),VLOOKUP(Table2[[#This Row],[New Engine Fuel Type:]],EFTable[],3,FALSE)))</f>
        <v/>
      </c>
      <c r="BC185" s="187" t="str">
        <f>IF(Table2[[#This Row],[Counter Number]]="","",Table2[[#This Row],[Old Bus NOx Emissions (tons/yr)]]-Table2[[#This Row],[New Bus NOx Emissions (tons/yr)]])</f>
        <v/>
      </c>
      <c r="BD185" s="188" t="str">
        <f>IF(Table2[[#This Row],[Counter Number]]="","",Table2[[#This Row],[Reduction Bus NOx Emissions (tons/yr)]]/Table2[[#This Row],[Old Bus NOx Emissions (tons/yr)]])</f>
        <v/>
      </c>
      <c r="BE185" s="175" t="str">
        <f>IF(Table2[[#This Row],[Counter Number]]="","",Table2[[#This Row],[Reduction Bus NOx Emissions (tons/yr)]]*Table2[[#This Row],[Remaining Life:]])</f>
        <v/>
      </c>
      <c r="BF185" s="189" t="str">
        <f>IF(Table2[[#This Row],[Counter Number]]="","",IF(Table2[[#This Row],[Lifetime NOx Reduction (tons)]]=0,"NA",Table2[[#This Row],[Upgrade Cost Per Unit]]/Table2[[#This Row],[Lifetime NOx Reduction (tons)]]))</f>
        <v/>
      </c>
      <c r="BG185" s="190" t="str">
        <f>IF(Table2[[#This Row],[Counter Number]]="","",Table2[[#This Row],[Annual Miles Traveled:]]*VLOOKUP(Table2[[#This Row],[Engine Model Year:]],EF!$A$2:$G$27,4,FALSE))</f>
        <v/>
      </c>
      <c r="BH185" s="173" t="str">
        <f>IF(Table2[[#This Row],[Counter Number]]="","",Table2[[#This Row],[Annual Miles Traveled:]]*IF(Table2[[#This Row],[New Engine Fuel Type:]]="ULSD",VLOOKUP(Table2[[#This Row],[New Engine Model Year:]],EFTable[],4,FALSE),VLOOKUP(Table2[[#This Row],[New Engine Fuel Type:]],EFTable[],4,FALSE)))</f>
        <v/>
      </c>
      <c r="BI185" s="191" t="str">
        <f>IF(Table2[[#This Row],[Counter Number]]="","",Table2[[#This Row],[Old Bus PM2.5 Emissions (tons/yr)]]-Table2[[#This Row],[New Bus PM2.5 Emissions (tons/yr)]])</f>
        <v/>
      </c>
      <c r="BJ185" s="192" t="str">
        <f>IF(Table2[[#This Row],[Counter Number]]="","",Table2[[#This Row],[Reduction Bus PM2.5 Emissions (tons/yr)]]/Table2[[#This Row],[Old Bus PM2.5 Emissions (tons/yr)]])</f>
        <v/>
      </c>
      <c r="BK185" s="193" t="str">
        <f>IF(Table2[[#This Row],[Counter Number]]="","",Table2[[#This Row],[Reduction Bus PM2.5 Emissions (tons/yr)]]*Table2[[#This Row],[Remaining Life:]])</f>
        <v/>
      </c>
      <c r="BL185" s="194" t="str">
        <f>IF(Table2[[#This Row],[Counter Number]]="","",IF(Table2[[#This Row],[Lifetime PM2.5 Reduction (tons)]]=0,"NA",Table2[[#This Row],[Upgrade Cost Per Unit]]/Table2[[#This Row],[Lifetime PM2.5 Reduction (tons)]]))</f>
        <v/>
      </c>
      <c r="BM185" s="179" t="str">
        <f>IF(Table2[[#This Row],[Counter Number]]="","",Table2[[#This Row],[Annual Miles Traveled:]]*VLOOKUP(Table2[[#This Row],[Engine Model Year:]],EF!$A$2:$G$40,5,FALSE))</f>
        <v/>
      </c>
      <c r="BN185" s="173" t="str">
        <f>IF(Table2[[#This Row],[Counter Number]]="","",Table2[[#This Row],[Annual Miles Traveled:]]*IF(Table2[[#This Row],[New Engine Fuel Type:]]="ULSD",VLOOKUP(Table2[[#This Row],[New Engine Model Year:]],EFTable[],5,FALSE),VLOOKUP(Table2[[#This Row],[New Engine Fuel Type:]],EFTable[],5,FALSE)))</f>
        <v/>
      </c>
      <c r="BO185" s="190" t="str">
        <f>IF(Table2[[#This Row],[Counter Number]]="","",Table2[[#This Row],[Old Bus HC Emissions (tons/yr)]]-Table2[[#This Row],[New Bus HC Emissions (tons/yr)]])</f>
        <v/>
      </c>
      <c r="BP185" s="188" t="str">
        <f>IF(Table2[[#This Row],[Counter Number]]="","",Table2[[#This Row],[Reduction Bus HC Emissions (tons/yr)]]/Table2[[#This Row],[Old Bus HC Emissions (tons/yr)]])</f>
        <v/>
      </c>
      <c r="BQ185" s="193" t="str">
        <f>IF(Table2[[#This Row],[Counter Number]]="","",Table2[[#This Row],[Reduction Bus HC Emissions (tons/yr)]]*Table2[[#This Row],[Remaining Life:]])</f>
        <v/>
      </c>
      <c r="BR185" s="194" t="str">
        <f>IF(Table2[[#This Row],[Counter Number]]="","",IF(Table2[[#This Row],[Lifetime HC Reduction (tons)]]=0,"NA",Table2[[#This Row],[Upgrade Cost Per Unit]]/Table2[[#This Row],[Lifetime HC Reduction (tons)]]))</f>
        <v/>
      </c>
      <c r="BS185" s="191" t="str">
        <f>IF(Table2[[#This Row],[Counter Number]]="","",Table2[[#This Row],[Annual Miles Traveled:]]*VLOOKUP(Table2[[#This Row],[Engine Model Year:]],EF!$A$2:$G$27,6,FALSE))</f>
        <v/>
      </c>
      <c r="BT185" s="173" t="str">
        <f>IF(Table2[[#This Row],[Counter Number]]="","",Table2[[#This Row],[Annual Miles Traveled:]]*IF(Table2[[#This Row],[New Engine Fuel Type:]]="ULSD",VLOOKUP(Table2[[#This Row],[New Engine Model Year:]],EFTable[],6,FALSE),VLOOKUP(Table2[[#This Row],[New Engine Fuel Type:]],EFTable[],6,FALSE)))</f>
        <v/>
      </c>
      <c r="BU185" s="190" t="str">
        <f>IF(Table2[[#This Row],[Counter Number]]="","",Table2[[#This Row],[Old Bus CO Emissions (tons/yr)]]-Table2[[#This Row],[New Bus CO Emissions (tons/yr)]])</f>
        <v/>
      </c>
      <c r="BV185" s="188" t="str">
        <f>IF(Table2[[#This Row],[Counter Number]]="","",Table2[[#This Row],[Reduction Bus CO Emissions (tons/yr)]]/Table2[[#This Row],[Old Bus CO Emissions (tons/yr)]])</f>
        <v/>
      </c>
      <c r="BW185" s="193" t="str">
        <f>IF(Table2[[#This Row],[Counter Number]]="","",Table2[[#This Row],[Reduction Bus CO Emissions (tons/yr)]]*Table2[[#This Row],[Remaining Life:]])</f>
        <v/>
      </c>
      <c r="BX185" s="194" t="str">
        <f>IF(Table2[[#This Row],[Counter Number]]="","",IF(Table2[[#This Row],[Lifetime CO Reduction (tons)]]=0,"NA",Table2[[#This Row],[Upgrade Cost Per Unit]]/Table2[[#This Row],[Lifetime CO Reduction (tons)]]))</f>
        <v/>
      </c>
      <c r="BY185" s="180" t="str">
        <f>IF(Table2[[#This Row],[Counter Number]]="","",Table2[[#This Row],[Old ULSD Used (gal):]]*VLOOKUP(Table2[[#This Row],[Engine Model Year:]],EF!$A$2:$G$27,7,FALSE))</f>
        <v/>
      </c>
      <c r="BZ18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5" s="195" t="str">
        <f>IF(Table2[[#This Row],[Counter Number]]="","",Table2[[#This Row],[Old Bus CO2 Emissions (tons/yr)]]-Table2[[#This Row],[New Bus CO2 Emissions (tons/yr)]])</f>
        <v/>
      </c>
      <c r="CB185" s="188" t="str">
        <f>IF(Table2[[#This Row],[Counter Number]]="","",Table2[[#This Row],[Reduction Bus CO2 Emissions (tons/yr)]]/Table2[[#This Row],[Old Bus CO2 Emissions (tons/yr)]])</f>
        <v/>
      </c>
      <c r="CC185" s="195" t="str">
        <f>IF(Table2[[#This Row],[Counter Number]]="","",Table2[[#This Row],[Reduction Bus CO2 Emissions (tons/yr)]]*Table2[[#This Row],[Remaining Life:]])</f>
        <v/>
      </c>
      <c r="CD185" s="194" t="str">
        <f>IF(Table2[[#This Row],[Counter Number]]="","",IF(Table2[[#This Row],[Lifetime CO2 Reduction (tons)]]=0,"NA",Table2[[#This Row],[Upgrade Cost Per Unit]]/Table2[[#This Row],[Lifetime CO2 Reduction (tons)]]))</f>
        <v/>
      </c>
      <c r="CE185" s="182" t="str">
        <f>IF(Table2[[#This Row],[Counter Number]]="","",IF(Table2[[#This Row],[New ULSD Used (gal):]]="",Table2[[#This Row],[Old ULSD Used (gal):]],Table2[[#This Row],[Old ULSD Used (gal):]]-Table2[[#This Row],[New ULSD Used (gal):]]))</f>
        <v/>
      </c>
      <c r="CF185" s="196" t="str">
        <f>IF(Table2[[#This Row],[Counter Number]]="","",Table2[[#This Row],[Diesel Fuel Reduction (gal/yr)]]/Table2[[#This Row],[Old ULSD Used (gal):]])</f>
        <v/>
      </c>
      <c r="CG185" s="197" t="str">
        <f>IF(Table2[[#This Row],[Counter Number]]="","",Table2[[#This Row],[Diesel Fuel Reduction (gal/yr)]]*Table2[[#This Row],[Remaining Life:]])</f>
        <v/>
      </c>
    </row>
    <row r="186" spans="1:85">
      <c r="A186" s="184" t="str">
        <f>IF(A161&lt;Application!$D$24,A161+1,"")</f>
        <v/>
      </c>
      <c r="B186" s="60" t="str">
        <f>IF(Table2[[#This Row],[Counter Number]]="","",Application!$D$16)</f>
        <v/>
      </c>
      <c r="C186" s="60" t="str">
        <f>IF(Table2[[#This Row],[Counter Number]]="","",Application!$D$14)</f>
        <v/>
      </c>
      <c r="D186" s="60" t="str">
        <f>IF(Table2[[#This Row],[Counter Number]]="","",Table1[[#This Row],[Old Bus Number]])</f>
        <v/>
      </c>
      <c r="E186" s="60" t="str">
        <f>IF(Table2[[#This Row],[Counter Number]]="","",Application!$D$15)</f>
        <v/>
      </c>
      <c r="F186" s="60" t="str">
        <f>IF(Table2[[#This Row],[Counter Number]]="","","On Highway")</f>
        <v/>
      </c>
      <c r="G186" s="60" t="str">
        <f>IF(Table2[[#This Row],[Counter Number]]="","",I186)</f>
        <v/>
      </c>
      <c r="H186" s="60" t="str">
        <f>IF(Table2[[#This Row],[Counter Number]]="","","Georgia")</f>
        <v/>
      </c>
      <c r="I186" s="60" t="str">
        <f>IF(Table2[[#This Row],[Counter Number]]="","",Application!$D$16)</f>
        <v/>
      </c>
      <c r="J186" s="60" t="str">
        <f>IF(Table2[[#This Row],[Counter Number]]="","",Application!$D$21)</f>
        <v/>
      </c>
      <c r="K186" s="60" t="str">
        <f>IF(Table2[[#This Row],[Counter Number]]="","",Application!$J$21)</f>
        <v/>
      </c>
      <c r="L186" s="60" t="str">
        <f>IF(Table2[[#This Row],[Counter Number]]="","","School Bus")</f>
        <v/>
      </c>
      <c r="M186" s="60" t="str">
        <f>IF(Table2[[#This Row],[Counter Number]]="","","School Bus")</f>
        <v/>
      </c>
      <c r="N186" s="60" t="str">
        <f>IF(Table2[[#This Row],[Counter Number]]="","",1)</f>
        <v/>
      </c>
      <c r="O186" s="60" t="str">
        <f>IF(Table2[[#This Row],[Counter Number]]="","",Table1[[#This Row],[Vehicle Identification Number(s):]])</f>
        <v/>
      </c>
      <c r="P186" s="60" t="str">
        <f>IF(Table2[[#This Row],[Counter Number]]="","",Table1[[#This Row],[Old Bus Manufacturer:]])</f>
        <v/>
      </c>
      <c r="Q186" s="60" t="str">
        <f>IF(Table2[[#This Row],[Counter Number]]="","",Table1[[#This Row],[Vehicle Model:]])</f>
        <v/>
      </c>
      <c r="R186" s="165" t="str">
        <f>IF(Table2[[#This Row],[Counter Number]]="","",Table1[[#This Row],[Vehicle Model Year:]])</f>
        <v/>
      </c>
      <c r="S186" s="60" t="str">
        <f>IF(Table2[[#This Row],[Counter Number]]="","",Table1[[#This Row],[Engine Serial Number(s):]])</f>
        <v/>
      </c>
      <c r="T186" s="60" t="str">
        <f>IF(Table2[[#This Row],[Counter Number]]="","",Table1[[#This Row],[Engine Make:]])</f>
        <v/>
      </c>
      <c r="U186" s="60" t="str">
        <f>IF(Table2[[#This Row],[Counter Number]]="","",Table1[[#This Row],[Engine Model:]])</f>
        <v/>
      </c>
      <c r="V186" s="165" t="str">
        <f>IF(Table2[[#This Row],[Counter Number]]="","",Table1[[#This Row],[Engine Model Year:]])</f>
        <v/>
      </c>
      <c r="W186" s="60" t="str">
        <f>IF(Table2[[#This Row],[Counter Number]]="","","NA")</f>
        <v/>
      </c>
      <c r="X186" s="165" t="str">
        <f>IF(Table2[[#This Row],[Counter Number]]="","",Table1[[#This Row],[Engine Horsepower (HP):]])</f>
        <v/>
      </c>
      <c r="Y186" s="165" t="str">
        <f>IF(Table2[[#This Row],[Counter Number]]="","",Table1[[#This Row],[Engine Cylinder Displacement (L):]]&amp;" L")</f>
        <v/>
      </c>
      <c r="Z186" s="165" t="str">
        <f>IF(Table2[[#This Row],[Counter Number]]="","",Table1[[#This Row],[Engine Number of Cylinders:]])</f>
        <v/>
      </c>
      <c r="AA186" s="166" t="str">
        <f>IF(Table2[[#This Row],[Counter Number]]="","",Table1[[#This Row],[Engine Family Name:]])</f>
        <v/>
      </c>
      <c r="AB186" s="60" t="str">
        <f>IF(Table2[[#This Row],[Counter Number]]="","","ULSD")</f>
        <v/>
      </c>
      <c r="AC186" s="167" t="str">
        <f>IF(Table2[[#This Row],[Counter Number]]="","",Table2[[#This Row],[Annual Miles Traveled:]]/Table1[[#This Row],[Old Fuel (mpg)]])</f>
        <v/>
      </c>
      <c r="AD186" s="60" t="str">
        <f>IF(Table2[[#This Row],[Counter Number]]="","","NA")</f>
        <v/>
      </c>
      <c r="AE186" s="168" t="str">
        <f>IF(Table2[[#This Row],[Counter Number]]="","",Table1[[#This Row],[Annual Miles Traveled]])</f>
        <v/>
      </c>
      <c r="AF186" s="169" t="str">
        <f>IF(Table2[[#This Row],[Counter Number]]="","",Table1[[#This Row],[Annual Idling Hours:]])</f>
        <v/>
      </c>
      <c r="AG186" s="60" t="str">
        <f>IF(Table2[[#This Row],[Counter Number]]="","","NA")</f>
        <v/>
      </c>
      <c r="AH186" s="165" t="str">
        <f>IF(Table2[[#This Row],[Counter Number]]="","",IF(Application!$J$25="Set Policy",Table1[[#This Row],[Remaining Life (years)         Set Policy]],Table1[[#This Row],[Remaining Life (years)               Case-by-Case]]))</f>
        <v/>
      </c>
      <c r="AI186" s="165" t="str">
        <f>IF(Table2[[#This Row],[Counter Number]]="","",IF(Application!$J$25="Case-by-Case","NA",Table2[[#This Row],[Fiscal Year of EPA Funds Used:]]+Table2[[#This Row],[Remaining Life:]]))</f>
        <v/>
      </c>
      <c r="AJ186" s="165"/>
      <c r="AK186" s="170" t="str">
        <f>IF(Table2[[#This Row],[Counter Number]]="","",Application!$D$14+1)</f>
        <v/>
      </c>
      <c r="AL186" s="60" t="str">
        <f>IF(Table2[[#This Row],[Counter Number]]="","","Vehicle Replacement")</f>
        <v/>
      </c>
      <c r="AM18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6" s="171" t="str">
        <f>IF(Table2[[#This Row],[Counter Number]]="","",Table1[[#This Row],[Cost of New Bus:]])</f>
        <v/>
      </c>
      <c r="AO186" s="60" t="str">
        <f>IF(Table2[[#This Row],[Counter Number]]="","","NA")</f>
        <v/>
      </c>
      <c r="AP186" s="165" t="str">
        <f>IF(Table2[[#This Row],[Counter Number]]="","",Table1[[#This Row],[New Engine Model Year:]])</f>
        <v/>
      </c>
      <c r="AQ186" s="60" t="str">
        <f>IF(Table2[[#This Row],[Counter Number]]="","","NA")</f>
        <v/>
      </c>
      <c r="AR186" s="165" t="str">
        <f>IF(Table2[[#This Row],[Counter Number]]="","",Table1[[#This Row],[New Engine Horsepower (HP):]])</f>
        <v/>
      </c>
      <c r="AS186" s="60" t="str">
        <f>IF(Table2[[#This Row],[Counter Number]]="","","NA")</f>
        <v/>
      </c>
      <c r="AT186" s="165" t="str">
        <f>IF(Table2[[#This Row],[Counter Number]]="","",Table1[[#This Row],[New Engine Cylinder Displacement (L):]]&amp;" L")</f>
        <v/>
      </c>
      <c r="AU186" s="114" t="str">
        <f>IF(Table2[[#This Row],[Counter Number]]="","",Table1[[#This Row],[New Engine Number of Cylinders:]])</f>
        <v/>
      </c>
      <c r="AV186" s="60" t="str">
        <f>IF(Table2[[#This Row],[Counter Number]]="","",Table1[[#This Row],[New Engine Family Name:]])</f>
        <v/>
      </c>
      <c r="AW18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6" s="60" t="str">
        <f>IF(Table2[[#This Row],[Counter Number]]="","","NA")</f>
        <v/>
      </c>
      <c r="AY186" s="172" t="str">
        <f>IF(Table2[[#This Row],[Counter Number]]="","",IF(Table2[[#This Row],[New Engine Fuel Type:]]="ULSD",Table1[[#This Row],[Annual Miles Traveled]]/Table1[[#This Row],[New Fuel (mpg) if Diesel]],""))</f>
        <v/>
      </c>
      <c r="AZ186" s="60"/>
      <c r="BA186" s="173" t="str">
        <f>IF(Table2[[#This Row],[Counter Number]]="","",Table2[[#This Row],[Annual Miles Traveled:]]*VLOOKUP(Table2[[#This Row],[Engine Model Year:]],EFTable[],3,FALSE))</f>
        <v/>
      </c>
      <c r="BB186" s="173" t="str">
        <f>IF(Table2[[#This Row],[Counter Number]]="","",Table2[[#This Row],[Annual Miles Traveled:]]*IF(Table2[[#This Row],[New Engine Fuel Type:]]="ULSD",VLOOKUP(Table2[[#This Row],[New Engine Model Year:]],EFTable[],3,FALSE),VLOOKUP(Table2[[#This Row],[New Engine Fuel Type:]],EFTable[],3,FALSE)))</f>
        <v/>
      </c>
      <c r="BC186" s="187" t="str">
        <f>IF(Table2[[#This Row],[Counter Number]]="","",Table2[[#This Row],[Old Bus NOx Emissions (tons/yr)]]-Table2[[#This Row],[New Bus NOx Emissions (tons/yr)]])</f>
        <v/>
      </c>
      <c r="BD186" s="188" t="str">
        <f>IF(Table2[[#This Row],[Counter Number]]="","",Table2[[#This Row],[Reduction Bus NOx Emissions (tons/yr)]]/Table2[[#This Row],[Old Bus NOx Emissions (tons/yr)]])</f>
        <v/>
      </c>
      <c r="BE186" s="175" t="str">
        <f>IF(Table2[[#This Row],[Counter Number]]="","",Table2[[#This Row],[Reduction Bus NOx Emissions (tons/yr)]]*Table2[[#This Row],[Remaining Life:]])</f>
        <v/>
      </c>
      <c r="BF186" s="189" t="str">
        <f>IF(Table2[[#This Row],[Counter Number]]="","",IF(Table2[[#This Row],[Lifetime NOx Reduction (tons)]]=0,"NA",Table2[[#This Row],[Upgrade Cost Per Unit]]/Table2[[#This Row],[Lifetime NOx Reduction (tons)]]))</f>
        <v/>
      </c>
      <c r="BG186" s="190" t="str">
        <f>IF(Table2[[#This Row],[Counter Number]]="","",Table2[[#This Row],[Annual Miles Traveled:]]*VLOOKUP(Table2[[#This Row],[Engine Model Year:]],EF!$A$2:$G$27,4,FALSE))</f>
        <v/>
      </c>
      <c r="BH186" s="173" t="str">
        <f>IF(Table2[[#This Row],[Counter Number]]="","",Table2[[#This Row],[Annual Miles Traveled:]]*IF(Table2[[#This Row],[New Engine Fuel Type:]]="ULSD",VLOOKUP(Table2[[#This Row],[New Engine Model Year:]],EFTable[],4,FALSE),VLOOKUP(Table2[[#This Row],[New Engine Fuel Type:]],EFTable[],4,FALSE)))</f>
        <v/>
      </c>
      <c r="BI186" s="191" t="str">
        <f>IF(Table2[[#This Row],[Counter Number]]="","",Table2[[#This Row],[Old Bus PM2.5 Emissions (tons/yr)]]-Table2[[#This Row],[New Bus PM2.5 Emissions (tons/yr)]])</f>
        <v/>
      </c>
      <c r="BJ186" s="192" t="str">
        <f>IF(Table2[[#This Row],[Counter Number]]="","",Table2[[#This Row],[Reduction Bus PM2.5 Emissions (tons/yr)]]/Table2[[#This Row],[Old Bus PM2.5 Emissions (tons/yr)]])</f>
        <v/>
      </c>
      <c r="BK186" s="193" t="str">
        <f>IF(Table2[[#This Row],[Counter Number]]="","",Table2[[#This Row],[Reduction Bus PM2.5 Emissions (tons/yr)]]*Table2[[#This Row],[Remaining Life:]])</f>
        <v/>
      </c>
      <c r="BL186" s="194" t="str">
        <f>IF(Table2[[#This Row],[Counter Number]]="","",IF(Table2[[#This Row],[Lifetime PM2.5 Reduction (tons)]]=0,"NA",Table2[[#This Row],[Upgrade Cost Per Unit]]/Table2[[#This Row],[Lifetime PM2.5 Reduction (tons)]]))</f>
        <v/>
      </c>
      <c r="BM186" s="179" t="str">
        <f>IF(Table2[[#This Row],[Counter Number]]="","",Table2[[#This Row],[Annual Miles Traveled:]]*VLOOKUP(Table2[[#This Row],[Engine Model Year:]],EF!$A$2:$G$40,5,FALSE))</f>
        <v/>
      </c>
      <c r="BN186" s="173" t="str">
        <f>IF(Table2[[#This Row],[Counter Number]]="","",Table2[[#This Row],[Annual Miles Traveled:]]*IF(Table2[[#This Row],[New Engine Fuel Type:]]="ULSD",VLOOKUP(Table2[[#This Row],[New Engine Model Year:]],EFTable[],5,FALSE),VLOOKUP(Table2[[#This Row],[New Engine Fuel Type:]],EFTable[],5,FALSE)))</f>
        <v/>
      </c>
      <c r="BO186" s="190" t="str">
        <f>IF(Table2[[#This Row],[Counter Number]]="","",Table2[[#This Row],[Old Bus HC Emissions (tons/yr)]]-Table2[[#This Row],[New Bus HC Emissions (tons/yr)]])</f>
        <v/>
      </c>
      <c r="BP186" s="188" t="str">
        <f>IF(Table2[[#This Row],[Counter Number]]="","",Table2[[#This Row],[Reduction Bus HC Emissions (tons/yr)]]/Table2[[#This Row],[Old Bus HC Emissions (tons/yr)]])</f>
        <v/>
      </c>
      <c r="BQ186" s="193" t="str">
        <f>IF(Table2[[#This Row],[Counter Number]]="","",Table2[[#This Row],[Reduction Bus HC Emissions (tons/yr)]]*Table2[[#This Row],[Remaining Life:]])</f>
        <v/>
      </c>
      <c r="BR186" s="194" t="str">
        <f>IF(Table2[[#This Row],[Counter Number]]="","",IF(Table2[[#This Row],[Lifetime HC Reduction (tons)]]=0,"NA",Table2[[#This Row],[Upgrade Cost Per Unit]]/Table2[[#This Row],[Lifetime HC Reduction (tons)]]))</f>
        <v/>
      </c>
      <c r="BS186" s="191" t="str">
        <f>IF(Table2[[#This Row],[Counter Number]]="","",Table2[[#This Row],[Annual Miles Traveled:]]*VLOOKUP(Table2[[#This Row],[Engine Model Year:]],EF!$A$2:$G$27,6,FALSE))</f>
        <v/>
      </c>
      <c r="BT186" s="173" t="str">
        <f>IF(Table2[[#This Row],[Counter Number]]="","",Table2[[#This Row],[Annual Miles Traveled:]]*IF(Table2[[#This Row],[New Engine Fuel Type:]]="ULSD",VLOOKUP(Table2[[#This Row],[New Engine Model Year:]],EFTable[],6,FALSE),VLOOKUP(Table2[[#This Row],[New Engine Fuel Type:]],EFTable[],6,FALSE)))</f>
        <v/>
      </c>
      <c r="BU186" s="190" t="str">
        <f>IF(Table2[[#This Row],[Counter Number]]="","",Table2[[#This Row],[Old Bus CO Emissions (tons/yr)]]-Table2[[#This Row],[New Bus CO Emissions (tons/yr)]])</f>
        <v/>
      </c>
      <c r="BV186" s="188" t="str">
        <f>IF(Table2[[#This Row],[Counter Number]]="","",Table2[[#This Row],[Reduction Bus CO Emissions (tons/yr)]]/Table2[[#This Row],[Old Bus CO Emissions (tons/yr)]])</f>
        <v/>
      </c>
      <c r="BW186" s="193" t="str">
        <f>IF(Table2[[#This Row],[Counter Number]]="","",Table2[[#This Row],[Reduction Bus CO Emissions (tons/yr)]]*Table2[[#This Row],[Remaining Life:]])</f>
        <v/>
      </c>
      <c r="BX186" s="194" t="str">
        <f>IF(Table2[[#This Row],[Counter Number]]="","",IF(Table2[[#This Row],[Lifetime CO Reduction (tons)]]=0,"NA",Table2[[#This Row],[Upgrade Cost Per Unit]]/Table2[[#This Row],[Lifetime CO Reduction (tons)]]))</f>
        <v/>
      </c>
      <c r="BY186" s="180" t="str">
        <f>IF(Table2[[#This Row],[Counter Number]]="","",Table2[[#This Row],[Old ULSD Used (gal):]]*VLOOKUP(Table2[[#This Row],[Engine Model Year:]],EF!$A$2:$G$27,7,FALSE))</f>
        <v/>
      </c>
      <c r="BZ18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6" s="195" t="str">
        <f>IF(Table2[[#This Row],[Counter Number]]="","",Table2[[#This Row],[Old Bus CO2 Emissions (tons/yr)]]-Table2[[#This Row],[New Bus CO2 Emissions (tons/yr)]])</f>
        <v/>
      </c>
      <c r="CB186" s="188" t="str">
        <f>IF(Table2[[#This Row],[Counter Number]]="","",Table2[[#This Row],[Reduction Bus CO2 Emissions (tons/yr)]]/Table2[[#This Row],[Old Bus CO2 Emissions (tons/yr)]])</f>
        <v/>
      </c>
      <c r="CC186" s="195" t="str">
        <f>IF(Table2[[#This Row],[Counter Number]]="","",Table2[[#This Row],[Reduction Bus CO2 Emissions (tons/yr)]]*Table2[[#This Row],[Remaining Life:]])</f>
        <v/>
      </c>
      <c r="CD186" s="194" t="str">
        <f>IF(Table2[[#This Row],[Counter Number]]="","",IF(Table2[[#This Row],[Lifetime CO2 Reduction (tons)]]=0,"NA",Table2[[#This Row],[Upgrade Cost Per Unit]]/Table2[[#This Row],[Lifetime CO2 Reduction (tons)]]))</f>
        <v/>
      </c>
      <c r="CE186" s="182" t="str">
        <f>IF(Table2[[#This Row],[Counter Number]]="","",IF(Table2[[#This Row],[New ULSD Used (gal):]]="",Table2[[#This Row],[Old ULSD Used (gal):]],Table2[[#This Row],[Old ULSD Used (gal):]]-Table2[[#This Row],[New ULSD Used (gal):]]))</f>
        <v/>
      </c>
      <c r="CF186" s="196" t="str">
        <f>IF(Table2[[#This Row],[Counter Number]]="","",Table2[[#This Row],[Diesel Fuel Reduction (gal/yr)]]/Table2[[#This Row],[Old ULSD Used (gal):]])</f>
        <v/>
      </c>
      <c r="CG186" s="197" t="str">
        <f>IF(Table2[[#This Row],[Counter Number]]="","",Table2[[#This Row],[Diesel Fuel Reduction (gal/yr)]]*Table2[[#This Row],[Remaining Life:]])</f>
        <v/>
      </c>
    </row>
    <row r="187" spans="1:85">
      <c r="A187" s="184" t="str">
        <f>IF(A162&lt;Application!$D$24,A162+1,"")</f>
        <v/>
      </c>
      <c r="B187" s="60" t="str">
        <f>IF(Table2[[#This Row],[Counter Number]]="","",Application!$D$16)</f>
        <v/>
      </c>
      <c r="C187" s="60" t="str">
        <f>IF(Table2[[#This Row],[Counter Number]]="","",Application!$D$14)</f>
        <v/>
      </c>
      <c r="D187" s="60" t="str">
        <f>IF(Table2[[#This Row],[Counter Number]]="","",Table1[[#This Row],[Old Bus Number]])</f>
        <v/>
      </c>
      <c r="E187" s="60" t="str">
        <f>IF(Table2[[#This Row],[Counter Number]]="","",Application!$D$15)</f>
        <v/>
      </c>
      <c r="F187" s="60" t="str">
        <f>IF(Table2[[#This Row],[Counter Number]]="","","On Highway")</f>
        <v/>
      </c>
      <c r="G187" s="60" t="str">
        <f>IF(Table2[[#This Row],[Counter Number]]="","",I187)</f>
        <v/>
      </c>
      <c r="H187" s="60" t="str">
        <f>IF(Table2[[#This Row],[Counter Number]]="","","Georgia")</f>
        <v/>
      </c>
      <c r="I187" s="60" t="str">
        <f>IF(Table2[[#This Row],[Counter Number]]="","",Application!$D$16)</f>
        <v/>
      </c>
      <c r="J187" s="60" t="str">
        <f>IF(Table2[[#This Row],[Counter Number]]="","",Application!$D$21)</f>
        <v/>
      </c>
      <c r="K187" s="60" t="str">
        <f>IF(Table2[[#This Row],[Counter Number]]="","",Application!$J$21)</f>
        <v/>
      </c>
      <c r="L187" s="60" t="str">
        <f>IF(Table2[[#This Row],[Counter Number]]="","","School Bus")</f>
        <v/>
      </c>
      <c r="M187" s="60" t="str">
        <f>IF(Table2[[#This Row],[Counter Number]]="","","School Bus")</f>
        <v/>
      </c>
      <c r="N187" s="60" t="str">
        <f>IF(Table2[[#This Row],[Counter Number]]="","",1)</f>
        <v/>
      </c>
      <c r="O187" s="60" t="str">
        <f>IF(Table2[[#This Row],[Counter Number]]="","",Table1[[#This Row],[Vehicle Identification Number(s):]])</f>
        <v/>
      </c>
      <c r="P187" s="60" t="str">
        <f>IF(Table2[[#This Row],[Counter Number]]="","",Table1[[#This Row],[Old Bus Manufacturer:]])</f>
        <v/>
      </c>
      <c r="Q187" s="60" t="str">
        <f>IF(Table2[[#This Row],[Counter Number]]="","",Table1[[#This Row],[Vehicle Model:]])</f>
        <v/>
      </c>
      <c r="R187" s="165" t="str">
        <f>IF(Table2[[#This Row],[Counter Number]]="","",Table1[[#This Row],[Vehicle Model Year:]])</f>
        <v/>
      </c>
      <c r="S187" s="60" t="str">
        <f>IF(Table2[[#This Row],[Counter Number]]="","",Table1[[#This Row],[Engine Serial Number(s):]])</f>
        <v/>
      </c>
      <c r="T187" s="60" t="str">
        <f>IF(Table2[[#This Row],[Counter Number]]="","",Table1[[#This Row],[Engine Make:]])</f>
        <v/>
      </c>
      <c r="U187" s="60" t="str">
        <f>IF(Table2[[#This Row],[Counter Number]]="","",Table1[[#This Row],[Engine Model:]])</f>
        <v/>
      </c>
      <c r="V187" s="165" t="str">
        <f>IF(Table2[[#This Row],[Counter Number]]="","",Table1[[#This Row],[Engine Model Year:]])</f>
        <v/>
      </c>
      <c r="W187" s="60" t="str">
        <f>IF(Table2[[#This Row],[Counter Number]]="","","NA")</f>
        <v/>
      </c>
      <c r="X187" s="165" t="str">
        <f>IF(Table2[[#This Row],[Counter Number]]="","",Table1[[#This Row],[Engine Horsepower (HP):]])</f>
        <v/>
      </c>
      <c r="Y187" s="165" t="str">
        <f>IF(Table2[[#This Row],[Counter Number]]="","",Table1[[#This Row],[Engine Cylinder Displacement (L):]]&amp;" L")</f>
        <v/>
      </c>
      <c r="Z187" s="165" t="str">
        <f>IF(Table2[[#This Row],[Counter Number]]="","",Table1[[#This Row],[Engine Number of Cylinders:]])</f>
        <v/>
      </c>
      <c r="AA187" s="166" t="str">
        <f>IF(Table2[[#This Row],[Counter Number]]="","",Table1[[#This Row],[Engine Family Name:]])</f>
        <v/>
      </c>
      <c r="AB187" s="60" t="str">
        <f>IF(Table2[[#This Row],[Counter Number]]="","","ULSD")</f>
        <v/>
      </c>
      <c r="AC187" s="167" t="str">
        <f>IF(Table2[[#This Row],[Counter Number]]="","",Table2[[#This Row],[Annual Miles Traveled:]]/Table1[[#This Row],[Old Fuel (mpg)]])</f>
        <v/>
      </c>
      <c r="AD187" s="60" t="str">
        <f>IF(Table2[[#This Row],[Counter Number]]="","","NA")</f>
        <v/>
      </c>
      <c r="AE187" s="168" t="str">
        <f>IF(Table2[[#This Row],[Counter Number]]="","",Table1[[#This Row],[Annual Miles Traveled]])</f>
        <v/>
      </c>
      <c r="AF187" s="169" t="str">
        <f>IF(Table2[[#This Row],[Counter Number]]="","",Table1[[#This Row],[Annual Idling Hours:]])</f>
        <v/>
      </c>
      <c r="AG187" s="60" t="str">
        <f>IF(Table2[[#This Row],[Counter Number]]="","","NA")</f>
        <v/>
      </c>
      <c r="AH187" s="165" t="str">
        <f>IF(Table2[[#This Row],[Counter Number]]="","",IF(Application!$J$25="Set Policy",Table1[[#This Row],[Remaining Life (years)         Set Policy]],Table1[[#This Row],[Remaining Life (years)               Case-by-Case]]))</f>
        <v/>
      </c>
      <c r="AI187" s="165" t="str">
        <f>IF(Table2[[#This Row],[Counter Number]]="","",IF(Application!$J$25="Case-by-Case","NA",Table2[[#This Row],[Fiscal Year of EPA Funds Used:]]+Table2[[#This Row],[Remaining Life:]]))</f>
        <v/>
      </c>
      <c r="AJ187" s="165"/>
      <c r="AK187" s="170" t="str">
        <f>IF(Table2[[#This Row],[Counter Number]]="","",Application!$D$14+1)</f>
        <v/>
      </c>
      <c r="AL187" s="60" t="str">
        <f>IF(Table2[[#This Row],[Counter Number]]="","","Vehicle Replacement")</f>
        <v/>
      </c>
      <c r="AM18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7" s="171" t="str">
        <f>IF(Table2[[#This Row],[Counter Number]]="","",Table1[[#This Row],[Cost of New Bus:]])</f>
        <v/>
      </c>
      <c r="AO187" s="60" t="str">
        <f>IF(Table2[[#This Row],[Counter Number]]="","","NA")</f>
        <v/>
      </c>
      <c r="AP187" s="165" t="str">
        <f>IF(Table2[[#This Row],[Counter Number]]="","",Table1[[#This Row],[New Engine Model Year:]])</f>
        <v/>
      </c>
      <c r="AQ187" s="60" t="str">
        <f>IF(Table2[[#This Row],[Counter Number]]="","","NA")</f>
        <v/>
      </c>
      <c r="AR187" s="165" t="str">
        <f>IF(Table2[[#This Row],[Counter Number]]="","",Table1[[#This Row],[New Engine Horsepower (HP):]])</f>
        <v/>
      </c>
      <c r="AS187" s="60" t="str">
        <f>IF(Table2[[#This Row],[Counter Number]]="","","NA")</f>
        <v/>
      </c>
      <c r="AT187" s="165" t="str">
        <f>IF(Table2[[#This Row],[Counter Number]]="","",Table1[[#This Row],[New Engine Cylinder Displacement (L):]]&amp;" L")</f>
        <v/>
      </c>
      <c r="AU187" s="114" t="str">
        <f>IF(Table2[[#This Row],[Counter Number]]="","",Table1[[#This Row],[New Engine Number of Cylinders:]])</f>
        <v/>
      </c>
      <c r="AV187" s="60" t="str">
        <f>IF(Table2[[#This Row],[Counter Number]]="","",Table1[[#This Row],[New Engine Family Name:]])</f>
        <v/>
      </c>
      <c r="AW18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7" s="60" t="str">
        <f>IF(Table2[[#This Row],[Counter Number]]="","","NA")</f>
        <v/>
      </c>
      <c r="AY187" s="172" t="str">
        <f>IF(Table2[[#This Row],[Counter Number]]="","",IF(Table2[[#This Row],[New Engine Fuel Type:]]="ULSD",Table1[[#This Row],[Annual Miles Traveled]]/Table1[[#This Row],[New Fuel (mpg) if Diesel]],""))</f>
        <v/>
      </c>
      <c r="AZ187" s="60"/>
      <c r="BA187" s="173" t="str">
        <f>IF(Table2[[#This Row],[Counter Number]]="","",Table2[[#This Row],[Annual Miles Traveled:]]*VLOOKUP(Table2[[#This Row],[Engine Model Year:]],EFTable[],3,FALSE))</f>
        <v/>
      </c>
      <c r="BB187" s="173" t="str">
        <f>IF(Table2[[#This Row],[Counter Number]]="","",Table2[[#This Row],[Annual Miles Traveled:]]*IF(Table2[[#This Row],[New Engine Fuel Type:]]="ULSD",VLOOKUP(Table2[[#This Row],[New Engine Model Year:]],EFTable[],3,FALSE),VLOOKUP(Table2[[#This Row],[New Engine Fuel Type:]],EFTable[],3,FALSE)))</f>
        <v/>
      </c>
      <c r="BC187" s="187" t="str">
        <f>IF(Table2[[#This Row],[Counter Number]]="","",Table2[[#This Row],[Old Bus NOx Emissions (tons/yr)]]-Table2[[#This Row],[New Bus NOx Emissions (tons/yr)]])</f>
        <v/>
      </c>
      <c r="BD187" s="188" t="str">
        <f>IF(Table2[[#This Row],[Counter Number]]="","",Table2[[#This Row],[Reduction Bus NOx Emissions (tons/yr)]]/Table2[[#This Row],[Old Bus NOx Emissions (tons/yr)]])</f>
        <v/>
      </c>
      <c r="BE187" s="175" t="str">
        <f>IF(Table2[[#This Row],[Counter Number]]="","",Table2[[#This Row],[Reduction Bus NOx Emissions (tons/yr)]]*Table2[[#This Row],[Remaining Life:]])</f>
        <v/>
      </c>
      <c r="BF187" s="189" t="str">
        <f>IF(Table2[[#This Row],[Counter Number]]="","",IF(Table2[[#This Row],[Lifetime NOx Reduction (tons)]]=0,"NA",Table2[[#This Row],[Upgrade Cost Per Unit]]/Table2[[#This Row],[Lifetime NOx Reduction (tons)]]))</f>
        <v/>
      </c>
      <c r="BG187" s="190" t="str">
        <f>IF(Table2[[#This Row],[Counter Number]]="","",Table2[[#This Row],[Annual Miles Traveled:]]*VLOOKUP(Table2[[#This Row],[Engine Model Year:]],EF!$A$2:$G$27,4,FALSE))</f>
        <v/>
      </c>
      <c r="BH187" s="173" t="str">
        <f>IF(Table2[[#This Row],[Counter Number]]="","",Table2[[#This Row],[Annual Miles Traveled:]]*IF(Table2[[#This Row],[New Engine Fuel Type:]]="ULSD",VLOOKUP(Table2[[#This Row],[New Engine Model Year:]],EFTable[],4,FALSE),VLOOKUP(Table2[[#This Row],[New Engine Fuel Type:]],EFTable[],4,FALSE)))</f>
        <v/>
      </c>
      <c r="BI187" s="191" t="str">
        <f>IF(Table2[[#This Row],[Counter Number]]="","",Table2[[#This Row],[Old Bus PM2.5 Emissions (tons/yr)]]-Table2[[#This Row],[New Bus PM2.5 Emissions (tons/yr)]])</f>
        <v/>
      </c>
      <c r="BJ187" s="192" t="str">
        <f>IF(Table2[[#This Row],[Counter Number]]="","",Table2[[#This Row],[Reduction Bus PM2.5 Emissions (tons/yr)]]/Table2[[#This Row],[Old Bus PM2.5 Emissions (tons/yr)]])</f>
        <v/>
      </c>
      <c r="BK187" s="193" t="str">
        <f>IF(Table2[[#This Row],[Counter Number]]="","",Table2[[#This Row],[Reduction Bus PM2.5 Emissions (tons/yr)]]*Table2[[#This Row],[Remaining Life:]])</f>
        <v/>
      </c>
      <c r="BL187" s="194" t="str">
        <f>IF(Table2[[#This Row],[Counter Number]]="","",IF(Table2[[#This Row],[Lifetime PM2.5 Reduction (tons)]]=0,"NA",Table2[[#This Row],[Upgrade Cost Per Unit]]/Table2[[#This Row],[Lifetime PM2.5 Reduction (tons)]]))</f>
        <v/>
      </c>
      <c r="BM187" s="179" t="str">
        <f>IF(Table2[[#This Row],[Counter Number]]="","",Table2[[#This Row],[Annual Miles Traveled:]]*VLOOKUP(Table2[[#This Row],[Engine Model Year:]],EF!$A$2:$G$40,5,FALSE))</f>
        <v/>
      </c>
      <c r="BN187" s="173" t="str">
        <f>IF(Table2[[#This Row],[Counter Number]]="","",Table2[[#This Row],[Annual Miles Traveled:]]*IF(Table2[[#This Row],[New Engine Fuel Type:]]="ULSD",VLOOKUP(Table2[[#This Row],[New Engine Model Year:]],EFTable[],5,FALSE),VLOOKUP(Table2[[#This Row],[New Engine Fuel Type:]],EFTable[],5,FALSE)))</f>
        <v/>
      </c>
      <c r="BO187" s="190" t="str">
        <f>IF(Table2[[#This Row],[Counter Number]]="","",Table2[[#This Row],[Old Bus HC Emissions (tons/yr)]]-Table2[[#This Row],[New Bus HC Emissions (tons/yr)]])</f>
        <v/>
      </c>
      <c r="BP187" s="188" t="str">
        <f>IF(Table2[[#This Row],[Counter Number]]="","",Table2[[#This Row],[Reduction Bus HC Emissions (tons/yr)]]/Table2[[#This Row],[Old Bus HC Emissions (tons/yr)]])</f>
        <v/>
      </c>
      <c r="BQ187" s="193" t="str">
        <f>IF(Table2[[#This Row],[Counter Number]]="","",Table2[[#This Row],[Reduction Bus HC Emissions (tons/yr)]]*Table2[[#This Row],[Remaining Life:]])</f>
        <v/>
      </c>
      <c r="BR187" s="194" t="str">
        <f>IF(Table2[[#This Row],[Counter Number]]="","",IF(Table2[[#This Row],[Lifetime HC Reduction (tons)]]=0,"NA",Table2[[#This Row],[Upgrade Cost Per Unit]]/Table2[[#This Row],[Lifetime HC Reduction (tons)]]))</f>
        <v/>
      </c>
      <c r="BS187" s="191" t="str">
        <f>IF(Table2[[#This Row],[Counter Number]]="","",Table2[[#This Row],[Annual Miles Traveled:]]*VLOOKUP(Table2[[#This Row],[Engine Model Year:]],EF!$A$2:$G$27,6,FALSE))</f>
        <v/>
      </c>
      <c r="BT187" s="173" t="str">
        <f>IF(Table2[[#This Row],[Counter Number]]="","",Table2[[#This Row],[Annual Miles Traveled:]]*IF(Table2[[#This Row],[New Engine Fuel Type:]]="ULSD",VLOOKUP(Table2[[#This Row],[New Engine Model Year:]],EFTable[],6,FALSE),VLOOKUP(Table2[[#This Row],[New Engine Fuel Type:]],EFTable[],6,FALSE)))</f>
        <v/>
      </c>
      <c r="BU187" s="190" t="str">
        <f>IF(Table2[[#This Row],[Counter Number]]="","",Table2[[#This Row],[Old Bus CO Emissions (tons/yr)]]-Table2[[#This Row],[New Bus CO Emissions (tons/yr)]])</f>
        <v/>
      </c>
      <c r="BV187" s="188" t="str">
        <f>IF(Table2[[#This Row],[Counter Number]]="","",Table2[[#This Row],[Reduction Bus CO Emissions (tons/yr)]]/Table2[[#This Row],[Old Bus CO Emissions (tons/yr)]])</f>
        <v/>
      </c>
      <c r="BW187" s="193" t="str">
        <f>IF(Table2[[#This Row],[Counter Number]]="","",Table2[[#This Row],[Reduction Bus CO Emissions (tons/yr)]]*Table2[[#This Row],[Remaining Life:]])</f>
        <v/>
      </c>
      <c r="BX187" s="194" t="str">
        <f>IF(Table2[[#This Row],[Counter Number]]="","",IF(Table2[[#This Row],[Lifetime CO Reduction (tons)]]=0,"NA",Table2[[#This Row],[Upgrade Cost Per Unit]]/Table2[[#This Row],[Lifetime CO Reduction (tons)]]))</f>
        <v/>
      </c>
      <c r="BY187" s="180" t="str">
        <f>IF(Table2[[#This Row],[Counter Number]]="","",Table2[[#This Row],[Old ULSD Used (gal):]]*VLOOKUP(Table2[[#This Row],[Engine Model Year:]],EF!$A$2:$G$27,7,FALSE))</f>
        <v/>
      </c>
      <c r="BZ18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7" s="195" t="str">
        <f>IF(Table2[[#This Row],[Counter Number]]="","",Table2[[#This Row],[Old Bus CO2 Emissions (tons/yr)]]-Table2[[#This Row],[New Bus CO2 Emissions (tons/yr)]])</f>
        <v/>
      </c>
      <c r="CB187" s="188" t="str">
        <f>IF(Table2[[#This Row],[Counter Number]]="","",Table2[[#This Row],[Reduction Bus CO2 Emissions (tons/yr)]]/Table2[[#This Row],[Old Bus CO2 Emissions (tons/yr)]])</f>
        <v/>
      </c>
      <c r="CC187" s="195" t="str">
        <f>IF(Table2[[#This Row],[Counter Number]]="","",Table2[[#This Row],[Reduction Bus CO2 Emissions (tons/yr)]]*Table2[[#This Row],[Remaining Life:]])</f>
        <v/>
      </c>
      <c r="CD187" s="194" t="str">
        <f>IF(Table2[[#This Row],[Counter Number]]="","",IF(Table2[[#This Row],[Lifetime CO2 Reduction (tons)]]=0,"NA",Table2[[#This Row],[Upgrade Cost Per Unit]]/Table2[[#This Row],[Lifetime CO2 Reduction (tons)]]))</f>
        <v/>
      </c>
      <c r="CE187" s="182" t="str">
        <f>IF(Table2[[#This Row],[Counter Number]]="","",IF(Table2[[#This Row],[New ULSD Used (gal):]]="",Table2[[#This Row],[Old ULSD Used (gal):]],Table2[[#This Row],[Old ULSD Used (gal):]]-Table2[[#This Row],[New ULSD Used (gal):]]))</f>
        <v/>
      </c>
      <c r="CF187" s="196" t="str">
        <f>IF(Table2[[#This Row],[Counter Number]]="","",Table2[[#This Row],[Diesel Fuel Reduction (gal/yr)]]/Table2[[#This Row],[Old ULSD Used (gal):]])</f>
        <v/>
      </c>
      <c r="CG187" s="197" t="str">
        <f>IF(Table2[[#This Row],[Counter Number]]="","",Table2[[#This Row],[Diesel Fuel Reduction (gal/yr)]]*Table2[[#This Row],[Remaining Life:]])</f>
        <v/>
      </c>
    </row>
    <row r="188" spans="1:85">
      <c r="A188" s="184" t="str">
        <f>IF(A163&lt;Application!$D$24,A163+1,"")</f>
        <v/>
      </c>
      <c r="B188" s="60" t="str">
        <f>IF(Table2[[#This Row],[Counter Number]]="","",Application!$D$16)</f>
        <v/>
      </c>
      <c r="C188" s="60" t="str">
        <f>IF(Table2[[#This Row],[Counter Number]]="","",Application!$D$14)</f>
        <v/>
      </c>
      <c r="D188" s="60" t="str">
        <f>IF(Table2[[#This Row],[Counter Number]]="","",Table1[[#This Row],[Old Bus Number]])</f>
        <v/>
      </c>
      <c r="E188" s="60" t="str">
        <f>IF(Table2[[#This Row],[Counter Number]]="","",Application!$D$15)</f>
        <v/>
      </c>
      <c r="F188" s="60" t="str">
        <f>IF(Table2[[#This Row],[Counter Number]]="","","On Highway")</f>
        <v/>
      </c>
      <c r="G188" s="60" t="str">
        <f>IF(Table2[[#This Row],[Counter Number]]="","",I188)</f>
        <v/>
      </c>
      <c r="H188" s="60" t="str">
        <f>IF(Table2[[#This Row],[Counter Number]]="","","Georgia")</f>
        <v/>
      </c>
      <c r="I188" s="60" t="str">
        <f>IF(Table2[[#This Row],[Counter Number]]="","",Application!$D$16)</f>
        <v/>
      </c>
      <c r="J188" s="60" t="str">
        <f>IF(Table2[[#This Row],[Counter Number]]="","",Application!$D$21)</f>
        <v/>
      </c>
      <c r="K188" s="60" t="str">
        <f>IF(Table2[[#This Row],[Counter Number]]="","",Application!$J$21)</f>
        <v/>
      </c>
      <c r="L188" s="60" t="str">
        <f>IF(Table2[[#This Row],[Counter Number]]="","","School Bus")</f>
        <v/>
      </c>
      <c r="M188" s="60" t="str">
        <f>IF(Table2[[#This Row],[Counter Number]]="","","School Bus")</f>
        <v/>
      </c>
      <c r="N188" s="60" t="str">
        <f>IF(Table2[[#This Row],[Counter Number]]="","",1)</f>
        <v/>
      </c>
      <c r="O188" s="60" t="str">
        <f>IF(Table2[[#This Row],[Counter Number]]="","",Table1[[#This Row],[Vehicle Identification Number(s):]])</f>
        <v/>
      </c>
      <c r="P188" s="60" t="str">
        <f>IF(Table2[[#This Row],[Counter Number]]="","",Table1[[#This Row],[Old Bus Manufacturer:]])</f>
        <v/>
      </c>
      <c r="Q188" s="60" t="str">
        <f>IF(Table2[[#This Row],[Counter Number]]="","",Table1[[#This Row],[Vehicle Model:]])</f>
        <v/>
      </c>
      <c r="R188" s="165" t="str">
        <f>IF(Table2[[#This Row],[Counter Number]]="","",Table1[[#This Row],[Vehicle Model Year:]])</f>
        <v/>
      </c>
      <c r="S188" s="60" t="str">
        <f>IF(Table2[[#This Row],[Counter Number]]="","",Table1[[#This Row],[Engine Serial Number(s):]])</f>
        <v/>
      </c>
      <c r="T188" s="60" t="str">
        <f>IF(Table2[[#This Row],[Counter Number]]="","",Table1[[#This Row],[Engine Make:]])</f>
        <v/>
      </c>
      <c r="U188" s="60" t="str">
        <f>IF(Table2[[#This Row],[Counter Number]]="","",Table1[[#This Row],[Engine Model:]])</f>
        <v/>
      </c>
      <c r="V188" s="165" t="str">
        <f>IF(Table2[[#This Row],[Counter Number]]="","",Table1[[#This Row],[Engine Model Year:]])</f>
        <v/>
      </c>
      <c r="W188" s="60" t="str">
        <f>IF(Table2[[#This Row],[Counter Number]]="","","NA")</f>
        <v/>
      </c>
      <c r="X188" s="165" t="str">
        <f>IF(Table2[[#This Row],[Counter Number]]="","",Table1[[#This Row],[Engine Horsepower (HP):]])</f>
        <v/>
      </c>
      <c r="Y188" s="165" t="str">
        <f>IF(Table2[[#This Row],[Counter Number]]="","",Table1[[#This Row],[Engine Cylinder Displacement (L):]]&amp;" L")</f>
        <v/>
      </c>
      <c r="Z188" s="165" t="str">
        <f>IF(Table2[[#This Row],[Counter Number]]="","",Table1[[#This Row],[Engine Number of Cylinders:]])</f>
        <v/>
      </c>
      <c r="AA188" s="166" t="str">
        <f>IF(Table2[[#This Row],[Counter Number]]="","",Table1[[#This Row],[Engine Family Name:]])</f>
        <v/>
      </c>
      <c r="AB188" s="60" t="str">
        <f>IF(Table2[[#This Row],[Counter Number]]="","","ULSD")</f>
        <v/>
      </c>
      <c r="AC188" s="167" t="str">
        <f>IF(Table2[[#This Row],[Counter Number]]="","",Table2[[#This Row],[Annual Miles Traveled:]]/Table1[[#This Row],[Old Fuel (mpg)]])</f>
        <v/>
      </c>
      <c r="AD188" s="60" t="str">
        <f>IF(Table2[[#This Row],[Counter Number]]="","","NA")</f>
        <v/>
      </c>
      <c r="AE188" s="168" t="str">
        <f>IF(Table2[[#This Row],[Counter Number]]="","",Table1[[#This Row],[Annual Miles Traveled]])</f>
        <v/>
      </c>
      <c r="AF188" s="169" t="str">
        <f>IF(Table2[[#This Row],[Counter Number]]="","",Table1[[#This Row],[Annual Idling Hours:]])</f>
        <v/>
      </c>
      <c r="AG188" s="60" t="str">
        <f>IF(Table2[[#This Row],[Counter Number]]="","","NA")</f>
        <v/>
      </c>
      <c r="AH188" s="165" t="str">
        <f>IF(Table2[[#This Row],[Counter Number]]="","",IF(Application!$J$25="Set Policy",Table1[[#This Row],[Remaining Life (years)         Set Policy]],Table1[[#This Row],[Remaining Life (years)               Case-by-Case]]))</f>
        <v/>
      </c>
      <c r="AI188" s="165" t="str">
        <f>IF(Table2[[#This Row],[Counter Number]]="","",IF(Application!$J$25="Case-by-Case","NA",Table2[[#This Row],[Fiscal Year of EPA Funds Used:]]+Table2[[#This Row],[Remaining Life:]]))</f>
        <v/>
      </c>
      <c r="AJ188" s="165"/>
      <c r="AK188" s="170" t="str">
        <f>IF(Table2[[#This Row],[Counter Number]]="","",Application!$D$14+1)</f>
        <v/>
      </c>
      <c r="AL188" s="60" t="str">
        <f>IF(Table2[[#This Row],[Counter Number]]="","","Vehicle Replacement")</f>
        <v/>
      </c>
      <c r="AM18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8" s="171" t="str">
        <f>IF(Table2[[#This Row],[Counter Number]]="","",Table1[[#This Row],[Cost of New Bus:]])</f>
        <v/>
      </c>
      <c r="AO188" s="60" t="str">
        <f>IF(Table2[[#This Row],[Counter Number]]="","","NA")</f>
        <v/>
      </c>
      <c r="AP188" s="165" t="str">
        <f>IF(Table2[[#This Row],[Counter Number]]="","",Table1[[#This Row],[New Engine Model Year:]])</f>
        <v/>
      </c>
      <c r="AQ188" s="60" t="str">
        <f>IF(Table2[[#This Row],[Counter Number]]="","","NA")</f>
        <v/>
      </c>
      <c r="AR188" s="165" t="str">
        <f>IF(Table2[[#This Row],[Counter Number]]="","",Table1[[#This Row],[New Engine Horsepower (HP):]])</f>
        <v/>
      </c>
      <c r="AS188" s="60" t="str">
        <f>IF(Table2[[#This Row],[Counter Number]]="","","NA")</f>
        <v/>
      </c>
      <c r="AT188" s="165" t="str">
        <f>IF(Table2[[#This Row],[Counter Number]]="","",Table1[[#This Row],[New Engine Cylinder Displacement (L):]]&amp;" L")</f>
        <v/>
      </c>
      <c r="AU188" s="114" t="str">
        <f>IF(Table2[[#This Row],[Counter Number]]="","",Table1[[#This Row],[New Engine Number of Cylinders:]])</f>
        <v/>
      </c>
      <c r="AV188" s="60" t="str">
        <f>IF(Table2[[#This Row],[Counter Number]]="","",Table1[[#This Row],[New Engine Family Name:]])</f>
        <v/>
      </c>
      <c r="AW18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8" s="60" t="str">
        <f>IF(Table2[[#This Row],[Counter Number]]="","","NA")</f>
        <v/>
      </c>
      <c r="AY188" s="172" t="str">
        <f>IF(Table2[[#This Row],[Counter Number]]="","",IF(Table2[[#This Row],[New Engine Fuel Type:]]="ULSD",Table1[[#This Row],[Annual Miles Traveled]]/Table1[[#This Row],[New Fuel (mpg) if Diesel]],""))</f>
        <v/>
      </c>
      <c r="AZ188" s="60"/>
      <c r="BA188" s="173" t="str">
        <f>IF(Table2[[#This Row],[Counter Number]]="","",Table2[[#This Row],[Annual Miles Traveled:]]*VLOOKUP(Table2[[#This Row],[Engine Model Year:]],EFTable[],3,FALSE))</f>
        <v/>
      </c>
      <c r="BB188" s="173" t="str">
        <f>IF(Table2[[#This Row],[Counter Number]]="","",Table2[[#This Row],[Annual Miles Traveled:]]*IF(Table2[[#This Row],[New Engine Fuel Type:]]="ULSD",VLOOKUP(Table2[[#This Row],[New Engine Model Year:]],EFTable[],3,FALSE),VLOOKUP(Table2[[#This Row],[New Engine Fuel Type:]],EFTable[],3,FALSE)))</f>
        <v/>
      </c>
      <c r="BC188" s="187" t="str">
        <f>IF(Table2[[#This Row],[Counter Number]]="","",Table2[[#This Row],[Old Bus NOx Emissions (tons/yr)]]-Table2[[#This Row],[New Bus NOx Emissions (tons/yr)]])</f>
        <v/>
      </c>
      <c r="BD188" s="188" t="str">
        <f>IF(Table2[[#This Row],[Counter Number]]="","",Table2[[#This Row],[Reduction Bus NOx Emissions (tons/yr)]]/Table2[[#This Row],[Old Bus NOx Emissions (tons/yr)]])</f>
        <v/>
      </c>
      <c r="BE188" s="175" t="str">
        <f>IF(Table2[[#This Row],[Counter Number]]="","",Table2[[#This Row],[Reduction Bus NOx Emissions (tons/yr)]]*Table2[[#This Row],[Remaining Life:]])</f>
        <v/>
      </c>
      <c r="BF188" s="189" t="str">
        <f>IF(Table2[[#This Row],[Counter Number]]="","",IF(Table2[[#This Row],[Lifetime NOx Reduction (tons)]]=0,"NA",Table2[[#This Row],[Upgrade Cost Per Unit]]/Table2[[#This Row],[Lifetime NOx Reduction (tons)]]))</f>
        <v/>
      </c>
      <c r="BG188" s="190" t="str">
        <f>IF(Table2[[#This Row],[Counter Number]]="","",Table2[[#This Row],[Annual Miles Traveled:]]*VLOOKUP(Table2[[#This Row],[Engine Model Year:]],EF!$A$2:$G$27,4,FALSE))</f>
        <v/>
      </c>
      <c r="BH188" s="173" t="str">
        <f>IF(Table2[[#This Row],[Counter Number]]="","",Table2[[#This Row],[Annual Miles Traveled:]]*IF(Table2[[#This Row],[New Engine Fuel Type:]]="ULSD",VLOOKUP(Table2[[#This Row],[New Engine Model Year:]],EFTable[],4,FALSE),VLOOKUP(Table2[[#This Row],[New Engine Fuel Type:]],EFTable[],4,FALSE)))</f>
        <v/>
      </c>
      <c r="BI188" s="191" t="str">
        <f>IF(Table2[[#This Row],[Counter Number]]="","",Table2[[#This Row],[Old Bus PM2.5 Emissions (tons/yr)]]-Table2[[#This Row],[New Bus PM2.5 Emissions (tons/yr)]])</f>
        <v/>
      </c>
      <c r="BJ188" s="192" t="str">
        <f>IF(Table2[[#This Row],[Counter Number]]="","",Table2[[#This Row],[Reduction Bus PM2.5 Emissions (tons/yr)]]/Table2[[#This Row],[Old Bus PM2.5 Emissions (tons/yr)]])</f>
        <v/>
      </c>
      <c r="BK188" s="193" t="str">
        <f>IF(Table2[[#This Row],[Counter Number]]="","",Table2[[#This Row],[Reduction Bus PM2.5 Emissions (tons/yr)]]*Table2[[#This Row],[Remaining Life:]])</f>
        <v/>
      </c>
      <c r="BL188" s="194" t="str">
        <f>IF(Table2[[#This Row],[Counter Number]]="","",IF(Table2[[#This Row],[Lifetime PM2.5 Reduction (tons)]]=0,"NA",Table2[[#This Row],[Upgrade Cost Per Unit]]/Table2[[#This Row],[Lifetime PM2.5 Reduction (tons)]]))</f>
        <v/>
      </c>
      <c r="BM188" s="179" t="str">
        <f>IF(Table2[[#This Row],[Counter Number]]="","",Table2[[#This Row],[Annual Miles Traveled:]]*VLOOKUP(Table2[[#This Row],[Engine Model Year:]],EF!$A$2:$G$40,5,FALSE))</f>
        <v/>
      </c>
      <c r="BN188" s="173" t="str">
        <f>IF(Table2[[#This Row],[Counter Number]]="","",Table2[[#This Row],[Annual Miles Traveled:]]*IF(Table2[[#This Row],[New Engine Fuel Type:]]="ULSD",VLOOKUP(Table2[[#This Row],[New Engine Model Year:]],EFTable[],5,FALSE),VLOOKUP(Table2[[#This Row],[New Engine Fuel Type:]],EFTable[],5,FALSE)))</f>
        <v/>
      </c>
      <c r="BO188" s="190" t="str">
        <f>IF(Table2[[#This Row],[Counter Number]]="","",Table2[[#This Row],[Old Bus HC Emissions (tons/yr)]]-Table2[[#This Row],[New Bus HC Emissions (tons/yr)]])</f>
        <v/>
      </c>
      <c r="BP188" s="188" t="str">
        <f>IF(Table2[[#This Row],[Counter Number]]="","",Table2[[#This Row],[Reduction Bus HC Emissions (tons/yr)]]/Table2[[#This Row],[Old Bus HC Emissions (tons/yr)]])</f>
        <v/>
      </c>
      <c r="BQ188" s="193" t="str">
        <f>IF(Table2[[#This Row],[Counter Number]]="","",Table2[[#This Row],[Reduction Bus HC Emissions (tons/yr)]]*Table2[[#This Row],[Remaining Life:]])</f>
        <v/>
      </c>
      <c r="BR188" s="194" t="str">
        <f>IF(Table2[[#This Row],[Counter Number]]="","",IF(Table2[[#This Row],[Lifetime HC Reduction (tons)]]=0,"NA",Table2[[#This Row],[Upgrade Cost Per Unit]]/Table2[[#This Row],[Lifetime HC Reduction (tons)]]))</f>
        <v/>
      </c>
      <c r="BS188" s="191" t="str">
        <f>IF(Table2[[#This Row],[Counter Number]]="","",Table2[[#This Row],[Annual Miles Traveled:]]*VLOOKUP(Table2[[#This Row],[Engine Model Year:]],EF!$A$2:$G$27,6,FALSE))</f>
        <v/>
      </c>
      <c r="BT188" s="173" t="str">
        <f>IF(Table2[[#This Row],[Counter Number]]="","",Table2[[#This Row],[Annual Miles Traveled:]]*IF(Table2[[#This Row],[New Engine Fuel Type:]]="ULSD",VLOOKUP(Table2[[#This Row],[New Engine Model Year:]],EFTable[],6,FALSE),VLOOKUP(Table2[[#This Row],[New Engine Fuel Type:]],EFTable[],6,FALSE)))</f>
        <v/>
      </c>
      <c r="BU188" s="190" t="str">
        <f>IF(Table2[[#This Row],[Counter Number]]="","",Table2[[#This Row],[Old Bus CO Emissions (tons/yr)]]-Table2[[#This Row],[New Bus CO Emissions (tons/yr)]])</f>
        <v/>
      </c>
      <c r="BV188" s="188" t="str">
        <f>IF(Table2[[#This Row],[Counter Number]]="","",Table2[[#This Row],[Reduction Bus CO Emissions (tons/yr)]]/Table2[[#This Row],[Old Bus CO Emissions (tons/yr)]])</f>
        <v/>
      </c>
      <c r="BW188" s="193" t="str">
        <f>IF(Table2[[#This Row],[Counter Number]]="","",Table2[[#This Row],[Reduction Bus CO Emissions (tons/yr)]]*Table2[[#This Row],[Remaining Life:]])</f>
        <v/>
      </c>
      <c r="BX188" s="194" t="str">
        <f>IF(Table2[[#This Row],[Counter Number]]="","",IF(Table2[[#This Row],[Lifetime CO Reduction (tons)]]=0,"NA",Table2[[#This Row],[Upgrade Cost Per Unit]]/Table2[[#This Row],[Lifetime CO Reduction (tons)]]))</f>
        <v/>
      </c>
      <c r="BY188" s="180" t="str">
        <f>IF(Table2[[#This Row],[Counter Number]]="","",Table2[[#This Row],[Old ULSD Used (gal):]]*VLOOKUP(Table2[[#This Row],[Engine Model Year:]],EF!$A$2:$G$27,7,FALSE))</f>
        <v/>
      </c>
      <c r="BZ18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8" s="195" t="str">
        <f>IF(Table2[[#This Row],[Counter Number]]="","",Table2[[#This Row],[Old Bus CO2 Emissions (tons/yr)]]-Table2[[#This Row],[New Bus CO2 Emissions (tons/yr)]])</f>
        <v/>
      </c>
      <c r="CB188" s="188" t="str">
        <f>IF(Table2[[#This Row],[Counter Number]]="","",Table2[[#This Row],[Reduction Bus CO2 Emissions (tons/yr)]]/Table2[[#This Row],[Old Bus CO2 Emissions (tons/yr)]])</f>
        <v/>
      </c>
      <c r="CC188" s="195" t="str">
        <f>IF(Table2[[#This Row],[Counter Number]]="","",Table2[[#This Row],[Reduction Bus CO2 Emissions (tons/yr)]]*Table2[[#This Row],[Remaining Life:]])</f>
        <v/>
      </c>
      <c r="CD188" s="194" t="str">
        <f>IF(Table2[[#This Row],[Counter Number]]="","",IF(Table2[[#This Row],[Lifetime CO2 Reduction (tons)]]=0,"NA",Table2[[#This Row],[Upgrade Cost Per Unit]]/Table2[[#This Row],[Lifetime CO2 Reduction (tons)]]))</f>
        <v/>
      </c>
      <c r="CE188" s="182" t="str">
        <f>IF(Table2[[#This Row],[Counter Number]]="","",IF(Table2[[#This Row],[New ULSD Used (gal):]]="",Table2[[#This Row],[Old ULSD Used (gal):]],Table2[[#This Row],[Old ULSD Used (gal):]]-Table2[[#This Row],[New ULSD Used (gal):]]))</f>
        <v/>
      </c>
      <c r="CF188" s="196" t="str">
        <f>IF(Table2[[#This Row],[Counter Number]]="","",Table2[[#This Row],[Diesel Fuel Reduction (gal/yr)]]/Table2[[#This Row],[Old ULSD Used (gal):]])</f>
        <v/>
      </c>
      <c r="CG188" s="197" t="str">
        <f>IF(Table2[[#This Row],[Counter Number]]="","",Table2[[#This Row],[Diesel Fuel Reduction (gal/yr)]]*Table2[[#This Row],[Remaining Life:]])</f>
        <v/>
      </c>
    </row>
    <row r="189" spans="1:85">
      <c r="A189" s="184" t="str">
        <f>IF(A164&lt;Application!$D$24,A164+1,"")</f>
        <v/>
      </c>
      <c r="B189" s="60" t="str">
        <f>IF(Table2[[#This Row],[Counter Number]]="","",Application!$D$16)</f>
        <v/>
      </c>
      <c r="C189" s="60" t="str">
        <f>IF(Table2[[#This Row],[Counter Number]]="","",Application!$D$14)</f>
        <v/>
      </c>
      <c r="D189" s="60" t="str">
        <f>IF(Table2[[#This Row],[Counter Number]]="","",Table1[[#This Row],[Old Bus Number]])</f>
        <v/>
      </c>
      <c r="E189" s="60" t="str">
        <f>IF(Table2[[#This Row],[Counter Number]]="","",Application!$D$15)</f>
        <v/>
      </c>
      <c r="F189" s="60" t="str">
        <f>IF(Table2[[#This Row],[Counter Number]]="","","On Highway")</f>
        <v/>
      </c>
      <c r="G189" s="60" t="str">
        <f>IF(Table2[[#This Row],[Counter Number]]="","",I189)</f>
        <v/>
      </c>
      <c r="H189" s="60" t="str">
        <f>IF(Table2[[#This Row],[Counter Number]]="","","Georgia")</f>
        <v/>
      </c>
      <c r="I189" s="60" t="str">
        <f>IF(Table2[[#This Row],[Counter Number]]="","",Application!$D$16)</f>
        <v/>
      </c>
      <c r="J189" s="60" t="str">
        <f>IF(Table2[[#This Row],[Counter Number]]="","",Application!$D$21)</f>
        <v/>
      </c>
      <c r="K189" s="60" t="str">
        <f>IF(Table2[[#This Row],[Counter Number]]="","",Application!$J$21)</f>
        <v/>
      </c>
      <c r="L189" s="60" t="str">
        <f>IF(Table2[[#This Row],[Counter Number]]="","","School Bus")</f>
        <v/>
      </c>
      <c r="M189" s="60" t="str">
        <f>IF(Table2[[#This Row],[Counter Number]]="","","School Bus")</f>
        <v/>
      </c>
      <c r="N189" s="60" t="str">
        <f>IF(Table2[[#This Row],[Counter Number]]="","",1)</f>
        <v/>
      </c>
      <c r="O189" s="60" t="str">
        <f>IF(Table2[[#This Row],[Counter Number]]="","",Table1[[#This Row],[Vehicle Identification Number(s):]])</f>
        <v/>
      </c>
      <c r="P189" s="60" t="str">
        <f>IF(Table2[[#This Row],[Counter Number]]="","",Table1[[#This Row],[Old Bus Manufacturer:]])</f>
        <v/>
      </c>
      <c r="Q189" s="60" t="str">
        <f>IF(Table2[[#This Row],[Counter Number]]="","",Table1[[#This Row],[Vehicle Model:]])</f>
        <v/>
      </c>
      <c r="R189" s="165" t="str">
        <f>IF(Table2[[#This Row],[Counter Number]]="","",Table1[[#This Row],[Vehicle Model Year:]])</f>
        <v/>
      </c>
      <c r="S189" s="60" t="str">
        <f>IF(Table2[[#This Row],[Counter Number]]="","",Table1[[#This Row],[Engine Serial Number(s):]])</f>
        <v/>
      </c>
      <c r="T189" s="60" t="str">
        <f>IF(Table2[[#This Row],[Counter Number]]="","",Table1[[#This Row],[Engine Make:]])</f>
        <v/>
      </c>
      <c r="U189" s="60" t="str">
        <f>IF(Table2[[#This Row],[Counter Number]]="","",Table1[[#This Row],[Engine Model:]])</f>
        <v/>
      </c>
      <c r="V189" s="165" t="str">
        <f>IF(Table2[[#This Row],[Counter Number]]="","",Table1[[#This Row],[Engine Model Year:]])</f>
        <v/>
      </c>
      <c r="W189" s="60" t="str">
        <f>IF(Table2[[#This Row],[Counter Number]]="","","NA")</f>
        <v/>
      </c>
      <c r="X189" s="165" t="str">
        <f>IF(Table2[[#This Row],[Counter Number]]="","",Table1[[#This Row],[Engine Horsepower (HP):]])</f>
        <v/>
      </c>
      <c r="Y189" s="165" t="str">
        <f>IF(Table2[[#This Row],[Counter Number]]="","",Table1[[#This Row],[Engine Cylinder Displacement (L):]]&amp;" L")</f>
        <v/>
      </c>
      <c r="Z189" s="165" t="str">
        <f>IF(Table2[[#This Row],[Counter Number]]="","",Table1[[#This Row],[Engine Number of Cylinders:]])</f>
        <v/>
      </c>
      <c r="AA189" s="166" t="str">
        <f>IF(Table2[[#This Row],[Counter Number]]="","",Table1[[#This Row],[Engine Family Name:]])</f>
        <v/>
      </c>
      <c r="AB189" s="60" t="str">
        <f>IF(Table2[[#This Row],[Counter Number]]="","","ULSD")</f>
        <v/>
      </c>
      <c r="AC189" s="167" t="str">
        <f>IF(Table2[[#This Row],[Counter Number]]="","",Table2[[#This Row],[Annual Miles Traveled:]]/Table1[[#This Row],[Old Fuel (mpg)]])</f>
        <v/>
      </c>
      <c r="AD189" s="60" t="str">
        <f>IF(Table2[[#This Row],[Counter Number]]="","","NA")</f>
        <v/>
      </c>
      <c r="AE189" s="168" t="str">
        <f>IF(Table2[[#This Row],[Counter Number]]="","",Table1[[#This Row],[Annual Miles Traveled]])</f>
        <v/>
      </c>
      <c r="AF189" s="169" t="str">
        <f>IF(Table2[[#This Row],[Counter Number]]="","",Table1[[#This Row],[Annual Idling Hours:]])</f>
        <v/>
      </c>
      <c r="AG189" s="60" t="str">
        <f>IF(Table2[[#This Row],[Counter Number]]="","","NA")</f>
        <v/>
      </c>
      <c r="AH189" s="165" t="str">
        <f>IF(Table2[[#This Row],[Counter Number]]="","",IF(Application!$J$25="Set Policy",Table1[[#This Row],[Remaining Life (years)         Set Policy]],Table1[[#This Row],[Remaining Life (years)               Case-by-Case]]))</f>
        <v/>
      </c>
      <c r="AI189" s="165" t="str">
        <f>IF(Table2[[#This Row],[Counter Number]]="","",IF(Application!$J$25="Case-by-Case","NA",Table2[[#This Row],[Fiscal Year of EPA Funds Used:]]+Table2[[#This Row],[Remaining Life:]]))</f>
        <v/>
      </c>
      <c r="AJ189" s="165"/>
      <c r="AK189" s="170" t="str">
        <f>IF(Table2[[#This Row],[Counter Number]]="","",Application!$D$14+1)</f>
        <v/>
      </c>
      <c r="AL189" s="60" t="str">
        <f>IF(Table2[[#This Row],[Counter Number]]="","","Vehicle Replacement")</f>
        <v/>
      </c>
      <c r="AM18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9" s="171" t="str">
        <f>IF(Table2[[#This Row],[Counter Number]]="","",Table1[[#This Row],[Cost of New Bus:]])</f>
        <v/>
      </c>
      <c r="AO189" s="60" t="str">
        <f>IF(Table2[[#This Row],[Counter Number]]="","","NA")</f>
        <v/>
      </c>
      <c r="AP189" s="165" t="str">
        <f>IF(Table2[[#This Row],[Counter Number]]="","",Table1[[#This Row],[New Engine Model Year:]])</f>
        <v/>
      </c>
      <c r="AQ189" s="60" t="str">
        <f>IF(Table2[[#This Row],[Counter Number]]="","","NA")</f>
        <v/>
      </c>
      <c r="AR189" s="165" t="str">
        <f>IF(Table2[[#This Row],[Counter Number]]="","",Table1[[#This Row],[New Engine Horsepower (HP):]])</f>
        <v/>
      </c>
      <c r="AS189" s="60" t="str">
        <f>IF(Table2[[#This Row],[Counter Number]]="","","NA")</f>
        <v/>
      </c>
      <c r="AT189" s="165" t="str">
        <f>IF(Table2[[#This Row],[Counter Number]]="","",Table1[[#This Row],[New Engine Cylinder Displacement (L):]]&amp;" L")</f>
        <v/>
      </c>
      <c r="AU189" s="114" t="str">
        <f>IF(Table2[[#This Row],[Counter Number]]="","",Table1[[#This Row],[New Engine Number of Cylinders:]])</f>
        <v/>
      </c>
      <c r="AV189" s="60" t="str">
        <f>IF(Table2[[#This Row],[Counter Number]]="","",Table1[[#This Row],[New Engine Family Name:]])</f>
        <v/>
      </c>
      <c r="AW18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9" s="60" t="str">
        <f>IF(Table2[[#This Row],[Counter Number]]="","","NA")</f>
        <v/>
      </c>
      <c r="AY189" s="172" t="str">
        <f>IF(Table2[[#This Row],[Counter Number]]="","",IF(Table2[[#This Row],[New Engine Fuel Type:]]="ULSD",Table1[[#This Row],[Annual Miles Traveled]]/Table1[[#This Row],[New Fuel (mpg) if Diesel]],""))</f>
        <v/>
      </c>
      <c r="AZ189" s="60"/>
      <c r="BA189" s="173" t="str">
        <f>IF(Table2[[#This Row],[Counter Number]]="","",Table2[[#This Row],[Annual Miles Traveled:]]*VLOOKUP(Table2[[#This Row],[Engine Model Year:]],EFTable[],3,FALSE))</f>
        <v/>
      </c>
      <c r="BB189" s="173" t="str">
        <f>IF(Table2[[#This Row],[Counter Number]]="","",Table2[[#This Row],[Annual Miles Traveled:]]*IF(Table2[[#This Row],[New Engine Fuel Type:]]="ULSD",VLOOKUP(Table2[[#This Row],[New Engine Model Year:]],EFTable[],3,FALSE),VLOOKUP(Table2[[#This Row],[New Engine Fuel Type:]],EFTable[],3,FALSE)))</f>
        <v/>
      </c>
      <c r="BC189" s="187" t="str">
        <f>IF(Table2[[#This Row],[Counter Number]]="","",Table2[[#This Row],[Old Bus NOx Emissions (tons/yr)]]-Table2[[#This Row],[New Bus NOx Emissions (tons/yr)]])</f>
        <v/>
      </c>
      <c r="BD189" s="188" t="str">
        <f>IF(Table2[[#This Row],[Counter Number]]="","",Table2[[#This Row],[Reduction Bus NOx Emissions (tons/yr)]]/Table2[[#This Row],[Old Bus NOx Emissions (tons/yr)]])</f>
        <v/>
      </c>
      <c r="BE189" s="175" t="str">
        <f>IF(Table2[[#This Row],[Counter Number]]="","",Table2[[#This Row],[Reduction Bus NOx Emissions (tons/yr)]]*Table2[[#This Row],[Remaining Life:]])</f>
        <v/>
      </c>
      <c r="BF189" s="189" t="str">
        <f>IF(Table2[[#This Row],[Counter Number]]="","",IF(Table2[[#This Row],[Lifetime NOx Reduction (tons)]]=0,"NA",Table2[[#This Row],[Upgrade Cost Per Unit]]/Table2[[#This Row],[Lifetime NOx Reduction (tons)]]))</f>
        <v/>
      </c>
      <c r="BG189" s="190" t="str">
        <f>IF(Table2[[#This Row],[Counter Number]]="","",Table2[[#This Row],[Annual Miles Traveled:]]*VLOOKUP(Table2[[#This Row],[Engine Model Year:]],EF!$A$2:$G$27,4,FALSE))</f>
        <v/>
      </c>
      <c r="BH189" s="173" t="str">
        <f>IF(Table2[[#This Row],[Counter Number]]="","",Table2[[#This Row],[Annual Miles Traveled:]]*IF(Table2[[#This Row],[New Engine Fuel Type:]]="ULSD",VLOOKUP(Table2[[#This Row],[New Engine Model Year:]],EFTable[],4,FALSE),VLOOKUP(Table2[[#This Row],[New Engine Fuel Type:]],EFTable[],4,FALSE)))</f>
        <v/>
      </c>
      <c r="BI189" s="191" t="str">
        <f>IF(Table2[[#This Row],[Counter Number]]="","",Table2[[#This Row],[Old Bus PM2.5 Emissions (tons/yr)]]-Table2[[#This Row],[New Bus PM2.5 Emissions (tons/yr)]])</f>
        <v/>
      </c>
      <c r="BJ189" s="192" t="str">
        <f>IF(Table2[[#This Row],[Counter Number]]="","",Table2[[#This Row],[Reduction Bus PM2.5 Emissions (tons/yr)]]/Table2[[#This Row],[Old Bus PM2.5 Emissions (tons/yr)]])</f>
        <v/>
      </c>
      <c r="BK189" s="193" t="str">
        <f>IF(Table2[[#This Row],[Counter Number]]="","",Table2[[#This Row],[Reduction Bus PM2.5 Emissions (tons/yr)]]*Table2[[#This Row],[Remaining Life:]])</f>
        <v/>
      </c>
      <c r="BL189" s="194" t="str">
        <f>IF(Table2[[#This Row],[Counter Number]]="","",IF(Table2[[#This Row],[Lifetime PM2.5 Reduction (tons)]]=0,"NA",Table2[[#This Row],[Upgrade Cost Per Unit]]/Table2[[#This Row],[Lifetime PM2.5 Reduction (tons)]]))</f>
        <v/>
      </c>
      <c r="BM189" s="179" t="str">
        <f>IF(Table2[[#This Row],[Counter Number]]="","",Table2[[#This Row],[Annual Miles Traveled:]]*VLOOKUP(Table2[[#This Row],[Engine Model Year:]],EF!$A$2:$G$40,5,FALSE))</f>
        <v/>
      </c>
      <c r="BN189" s="173" t="str">
        <f>IF(Table2[[#This Row],[Counter Number]]="","",Table2[[#This Row],[Annual Miles Traveled:]]*IF(Table2[[#This Row],[New Engine Fuel Type:]]="ULSD",VLOOKUP(Table2[[#This Row],[New Engine Model Year:]],EFTable[],5,FALSE),VLOOKUP(Table2[[#This Row],[New Engine Fuel Type:]],EFTable[],5,FALSE)))</f>
        <v/>
      </c>
      <c r="BO189" s="190" t="str">
        <f>IF(Table2[[#This Row],[Counter Number]]="","",Table2[[#This Row],[Old Bus HC Emissions (tons/yr)]]-Table2[[#This Row],[New Bus HC Emissions (tons/yr)]])</f>
        <v/>
      </c>
      <c r="BP189" s="188" t="str">
        <f>IF(Table2[[#This Row],[Counter Number]]="","",Table2[[#This Row],[Reduction Bus HC Emissions (tons/yr)]]/Table2[[#This Row],[Old Bus HC Emissions (tons/yr)]])</f>
        <v/>
      </c>
      <c r="BQ189" s="193" t="str">
        <f>IF(Table2[[#This Row],[Counter Number]]="","",Table2[[#This Row],[Reduction Bus HC Emissions (tons/yr)]]*Table2[[#This Row],[Remaining Life:]])</f>
        <v/>
      </c>
      <c r="BR189" s="194" t="str">
        <f>IF(Table2[[#This Row],[Counter Number]]="","",IF(Table2[[#This Row],[Lifetime HC Reduction (tons)]]=0,"NA",Table2[[#This Row],[Upgrade Cost Per Unit]]/Table2[[#This Row],[Lifetime HC Reduction (tons)]]))</f>
        <v/>
      </c>
      <c r="BS189" s="191" t="str">
        <f>IF(Table2[[#This Row],[Counter Number]]="","",Table2[[#This Row],[Annual Miles Traveled:]]*VLOOKUP(Table2[[#This Row],[Engine Model Year:]],EF!$A$2:$G$27,6,FALSE))</f>
        <v/>
      </c>
      <c r="BT189" s="173" t="str">
        <f>IF(Table2[[#This Row],[Counter Number]]="","",Table2[[#This Row],[Annual Miles Traveled:]]*IF(Table2[[#This Row],[New Engine Fuel Type:]]="ULSD",VLOOKUP(Table2[[#This Row],[New Engine Model Year:]],EFTable[],6,FALSE),VLOOKUP(Table2[[#This Row],[New Engine Fuel Type:]],EFTable[],6,FALSE)))</f>
        <v/>
      </c>
      <c r="BU189" s="190" t="str">
        <f>IF(Table2[[#This Row],[Counter Number]]="","",Table2[[#This Row],[Old Bus CO Emissions (tons/yr)]]-Table2[[#This Row],[New Bus CO Emissions (tons/yr)]])</f>
        <v/>
      </c>
      <c r="BV189" s="188" t="str">
        <f>IF(Table2[[#This Row],[Counter Number]]="","",Table2[[#This Row],[Reduction Bus CO Emissions (tons/yr)]]/Table2[[#This Row],[Old Bus CO Emissions (tons/yr)]])</f>
        <v/>
      </c>
      <c r="BW189" s="193" t="str">
        <f>IF(Table2[[#This Row],[Counter Number]]="","",Table2[[#This Row],[Reduction Bus CO Emissions (tons/yr)]]*Table2[[#This Row],[Remaining Life:]])</f>
        <v/>
      </c>
      <c r="BX189" s="194" t="str">
        <f>IF(Table2[[#This Row],[Counter Number]]="","",IF(Table2[[#This Row],[Lifetime CO Reduction (tons)]]=0,"NA",Table2[[#This Row],[Upgrade Cost Per Unit]]/Table2[[#This Row],[Lifetime CO Reduction (tons)]]))</f>
        <v/>
      </c>
      <c r="BY189" s="180" t="str">
        <f>IF(Table2[[#This Row],[Counter Number]]="","",Table2[[#This Row],[Old ULSD Used (gal):]]*VLOOKUP(Table2[[#This Row],[Engine Model Year:]],EF!$A$2:$G$27,7,FALSE))</f>
        <v/>
      </c>
      <c r="BZ18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9" s="195" t="str">
        <f>IF(Table2[[#This Row],[Counter Number]]="","",Table2[[#This Row],[Old Bus CO2 Emissions (tons/yr)]]-Table2[[#This Row],[New Bus CO2 Emissions (tons/yr)]])</f>
        <v/>
      </c>
      <c r="CB189" s="188" t="str">
        <f>IF(Table2[[#This Row],[Counter Number]]="","",Table2[[#This Row],[Reduction Bus CO2 Emissions (tons/yr)]]/Table2[[#This Row],[Old Bus CO2 Emissions (tons/yr)]])</f>
        <v/>
      </c>
      <c r="CC189" s="195" t="str">
        <f>IF(Table2[[#This Row],[Counter Number]]="","",Table2[[#This Row],[Reduction Bus CO2 Emissions (tons/yr)]]*Table2[[#This Row],[Remaining Life:]])</f>
        <v/>
      </c>
      <c r="CD189" s="194" t="str">
        <f>IF(Table2[[#This Row],[Counter Number]]="","",IF(Table2[[#This Row],[Lifetime CO2 Reduction (tons)]]=0,"NA",Table2[[#This Row],[Upgrade Cost Per Unit]]/Table2[[#This Row],[Lifetime CO2 Reduction (tons)]]))</f>
        <v/>
      </c>
      <c r="CE189" s="182" t="str">
        <f>IF(Table2[[#This Row],[Counter Number]]="","",IF(Table2[[#This Row],[New ULSD Used (gal):]]="",Table2[[#This Row],[Old ULSD Used (gal):]],Table2[[#This Row],[Old ULSD Used (gal):]]-Table2[[#This Row],[New ULSD Used (gal):]]))</f>
        <v/>
      </c>
      <c r="CF189" s="196" t="str">
        <f>IF(Table2[[#This Row],[Counter Number]]="","",Table2[[#This Row],[Diesel Fuel Reduction (gal/yr)]]/Table2[[#This Row],[Old ULSD Used (gal):]])</f>
        <v/>
      </c>
      <c r="CG189" s="197" t="str">
        <f>IF(Table2[[#This Row],[Counter Number]]="","",Table2[[#This Row],[Diesel Fuel Reduction (gal/yr)]]*Table2[[#This Row],[Remaining Life:]])</f>
        <v/>
      </c>
    </row>
    <row r="190" spans="1:85">
      <c r="A190" s="184" t="str">
        <f>IF(A165&lt;Application!$D$24,A165+1,"")</f>
        <v/>
      </c>
      <c r="B190" s="60" t="str">
        <f>IF(Table2[[#This Row],[Counter Number]]="","",Application!$D$16)</f>
        <v/>
      </c>
      <c r="C190" s="60" t="str">
        <f>IF(Table2[[#This Row],[Counter Number]]="","",Application!$D$14)</f>
        <v/>
      </c>
      <c r="D190" s="60" t="str">
        <f>IF(Table2[[#This Row],[Counter Number]]="","",Table1[[#This Row],[Old Bus Number]])</f>
        <v/>
      </c>
      <c r="E190" s="60" t="str">
        <f>IF(Table2[[#This Row],[Counter Number]]="","",Application!$D$15)</f>
        <v/>
      </c>
      <c r="F190" s="60" t="str">
        <f>IF(Table2[[#This Row],[Counter Number]]="","","On Highway")</f>
        <v/>
      </c>
      <c r="G190" s="60" t="str">
        <f>IF(Table2[[#This Row],[Counter Number]]="","",I190)</f>
        <v/>
      </c>
      <c r="H190" s="60" t="str">
        <f>IF(Table2[[#This Row],[Counter Number]]="","","Georgia")</f>
        <v/>
      </c>
      <c r="I190" s="60" t="str">
        <f>IF(Table2[[#This Row],[Counter Number]]="","",Application!$D$16)</f>
        <v/>
      </c>
      <c r="J190" s="60" t="str">
        <f>IF(Table2[[#This Row],[Counter Number]]="","",Application!$D$21)</f>
        <v/>
      </c>
      <c r="K190" s="60" t="str">
        <f>IF(Table2[[#This Row],[Counter Number]]="","",Application!$J$21)</f>
        <v/>
      </c>
      <c r="L190" s="60" t="str">
        <f>IF(Table2[[#This Row],[Counter Number]]="","","School Bus")</f>
        <v/>
      </c>
      <c r="M190" s="60" t="str">
        <f>IF(Table2[[#This Row],[Counter Number]]="","","School Bus")</f>
        <v/>
      </c>
      <c r="N190" s="60" t="str">
        <f>IF(Table2[[#This Row],[Counter Number]]="","",1)</f>
        <v/>
      </c>
      <c r="O190" s="60" t="str">
        <f>IF(Table2[[#This Row],[Counter Number]]="","",Table1[[#This Row],[Vehicle Identification Number(s):]])</f>
        <v/>
      </c>
      <c r="P190" s="60" t="str">
        <f>IF(Table2[[#This Row],[Counter Number]]="","",Table1[[#This Row],[Old Bus Manufacturer:]])</f>
        <v/>
      </c>
      <c r="Q190" s="60" t="str">
        <f>IF(Table2[[#This Row],[Counter Number]]="","",Table1[[#This Row],[Vehicle Model:]])</f>
        <v/>
      </c>
      <c r="R190" s="165" t="str">
        <f>IF(Table2[[#This Row],[Counter Number]]="","",Table1[[#This Row],[Vehicle Model Year:]])</f>
        <v/>
      </c>
      <c r="S190" s="60" t="str">
        <f>IF(Table2[[#This Row],[Counter Number]]="","",Table1[[#This Row],[Engine Serial Number(s):]])</f>
        <v/>
      </c>
      <c r="T190" s="60" t="str">
        <f>IF(Table2[[#This Row],[Counter Number]]="","",Table1[[#This Row],[Engine Make:]])</f>
        <v/>
      </c>
      <c r="U190" s="60" t="str">
        <f>IF(Table2[[#This Row],[Counter Number]]="","",Table1[[#This Row],[Engine Model:]])</f>
        <v/>
      </c>
      <c r="V190" s="165" t="str">
        <f>IF(Table2[[#This Row],[Counter Number]]="","",Table1[[#This Row],[Engine Model Year:]])</f>
        <v/>
      </c>
      <c r="W190" s="60" t="str">
        <f>IF(Table2[[#This Row],[Counter Number]]="","","NA")</f>
        <v/>
      </c>
      <c r="X190" s="165" t="str">
        <f>IF(Table2[[#This Row],[Counter Number]]="","",Table1[[#This Row],[Engine Horsepower (HP):]])</f>
        <v/>
      </c>
      <c r="Y190" s="165" t="str">
        <f>IF(Table2[[#This Row],[Counter Number]]="","",Table1[[#This Row],[Engine Cylinder Displacement (L):]]&amp;" L")</f>
        <v/>
      </c>
      <c r="Z190" s="165" t="str">
        <f>IF(Table2[[#This Row],[Counter Number]]="","",Table1[[#This Row],[Engine Number of Cylinders:]])</f>
        <v/>
      </c>
      <c r="AA190" s="166" t="str">
        <f>IF(Table2[[#This Row],[Counter Number]]="","",Table1[[#This Row],[Engine Family Name:]])</f>
        <v/>
      </c>
      <c r="AB190" s="60" t="str">
        <f>IF(Table2[[#This Row],[Counter Number]]="","","ULSD")</f>
        <v/>
      </c>
      <c r="AC190" s="167" t="str">
        <f>IF(Table2[[#This Row],[Counter Number]]="","",Table2[[#This Row],[Annual Miles Traveled:]]/Table1[[#This Row],[Old Fuel (mpg)]])</f>
        <v/>
      </c>
      <c r="AD190" s="60" t="str">
        <f>IF(Table2[[#This Row],[Counter Number]]="","","NA")</f>
        <v/>
      </c>
      <c r="AE190" s="168" t="str">
        <f>IF(Table2[[#This Row],[Counter Number]]="","",Table1[[#This Row],[Annual Miles Traveled]])</f>
        <v/>
      </c>
      <c r="AF190" s="169" t="str">
        <f>IF(Table2[[#This Row],[Counter Number]]="","",Table1[[#This Row],[Annual Idling Hours:]])</f>
        <v/>
      </c>
      <c r="AG190" s="60" t="str">
        <f>IF(Table2[[#This Row],[Counter Number]]="","","NA")</f>
        <v/>
      </c>
      <c r="AH190" s="165" t="str">
        <f>IF(Table2[[#This Row],[Counter Number]]="","",IF(Application!$J$25="Set Policy",Table1[[#This Row],[Remaining Life (years)         Set Policy]],Table1[[#This Row],[Remaining Life (years)               Case-by-Case]]))</f>
        <v/>
      </c>
      <c r="AI190" s="165" t="str">
        <f>IF(Table2[[#This Row],[Counter Number]]="","",IF(Application!$J$25="Case-by-Case","NA",Table2[[#This Row],[Fiscal Year of EPA Funds Used:]]+Table2[[#This Row],[Remaining Life:]]))</f>
        <v/>
      </c>
      <c r="AJ190" s="165"/>
      <c r="AK190" s="170" t="str">
        <f>IF(Table2[[#This Row],[Counter Number]]="","",Application!$D$14+1)</f>
        <v/>
      </c>
      <c r="AL190" s="60" t="str">
        <f>IF(Table2[[#This Row],[Counter Number]]="","","Vehicle Replacement")</f>
        <v/>
      </c>
      <c r="AM19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0" s="171" t="str">
        <f>IF(Table2[[#This Row],[Counter Number]]="","",Table1[[#This Row],[Cost of New Bus:]])</f>
        <v/>
      </c>
      <c r="AO190" s="60" t="str">
        <f>IF(Table2[[#This Row],[Counter Number]]="","","NA")</f>
        <v/>
      </c>
      <c r="AP190" s="165" t="str">
        <f>IF(Table2[[#This Row],[Counter Number]]="","",Table1[[#This Row],[New Engine Model Year:]])</f>
        <v/>
      </c>
      <c r="AQ190" s="60" t="str">
        <f>IF(Table2[[#This Row],[Counter Number]]="","","NA")</f>
        <v/>
      </c>
      <c r="AR190" s="165" t="str">
        <f>IF(Table2[[#This Row],[Counter Number]]="","",Table1[[#This Row],[New Engine Horsepower (HP):]])</f>
        <v/>
      </c>
      <c r="AS190" s="60" t="str">
        <f>IF(Table2[[#This Row],[Counter Number]]="","","NA")</f>
        <v/>
      </c>
      <c r="AT190" s="165" t="str">
        <f>IF(Table2[[#This Row],[Counter Number]]="","",Table1[[#This Row],[New Engine Cylinder Displacement (L):]]&amp;" L")</f>
        <v/>
      </c>
      <c r="AU190" s="114" t="str">
        <f>IF(Table2[[#This Row],[Counter Number]]="","",Table1[[#This Row],[New Engine Number of Cylinders:]])</f>
        <v/>
      </c>
      <c r="AV190" s="60" t="str">
        <f>IF(Table2[[#This Row],[Counter Number]]="","",Table1[[#This Row],[New Engine Family Name:]])</f>
        <v/>
      </c>
      <c r="AW19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0" s="60" t="str">
        <f>IF(Table2[[#This Row],[Counter Number]]="","","NA")</f>
        <v/>
      </c>
      <c r="AY190" s="172" t="str">
        <f>IF(Table2[[#This Row],[Counter Number]]="","",IF(Table2[[#This Row],[New Engine Fuel Type:]]="ULSD",Table1[[#This Row],[Annual Miles Traveled]]/Table1[[#This Row],[New Fuel (mpg) if Diesel]],""))</f>
        <v/>
      </c>
      <c r="AZ190" s="60"/>
      <c r="BA190" s="173" t="str">
        <f>IF(Table2[[#This Row],[Counter Number]]="","",Table2[[#This Row],[Annual Miles Traveled:]]*VLOOKUP(Table2[[#This Row],[Engine Model Year:]],EFTable[],3,FALSE))</f>
        <v/>
      </c>
      <c r="BB190" s="173" t="str">
        <f>IF(Table2[[#This Row],[Counter Number]]="","",Table2[[#This Row],[Annual Miles Traveled:]]*IF(Table2[[#This Row],[New Engine Fuel Type:]]="ULSD",VLOOKUP(Table2[[#This Row],[New Engine Model Year:]],EFTable[],3,FALSE),VLOOKUP(Table2[[#This Row],[New Engine Fuel Type:]],EFTable[],3,FALSE)))</f>
        <v/>
      </c>
      <c r="BC190" s="187" t="str">
        <f>IF(Table2[[#This Row],[Counter Number]]="","",Table2[[#This Row],[Old Bus NOx Emissions (tons/yr)]]-Table2[[#This Row],[New Bus NOx Emissions (tons/yr)]])</f>
        <v/>
      </c>
      <c r="BD190" s="188" t="str">
        <f>IF(Table2[[#This Row],[Counter Number]]="","",Table2[[#This Row],[Reduction Bus NOx Emissions (tons/yr)]]/Table2[[#This Row],[Old Bus NOx Emissions (tons/yr)]])</f>
        <v/>
      </c>
      <c r="BE190" s="175" t="str">
        <f>IF(Table2[[#This Row],[Counter Number]]="","",Table2[[#This Row],[Reduction Bus NOx Emissions (tons/yr)]]*Table2[[#This Row],[Remaining Life:]])</f>
        <v/>
      </c>
      <c r="BF190" s="189" t="str">
        <f>IF(Table2[[#This Row],[Counter Number]]="","",IF(Table2[[#This Row],[Lifetime NOx Reduction (tons)]]=0,"NA",Table2[[#This Row],[Upgrade Cost Per Unit]]/Table2[[#This Row],[Lifetime NOx Reduction (tons)]]))</f>
        <v/>
      </c>
      <c r="BG190" s="190" t="str">
        <f>IF(Table2[[#This Row],[Counter Number]]="","",Table2[[#This Row],[Annual Miles Traveled:]]*VLOOKUP(Table2[[#This Row],[Engine Model Year:]],EF!$A$2:$G$27,4,FALSE))</f>
        <v/>
      </c>
      <c r="BH190" s="173" t="str">
        <f>IF(Table2[[#This Row],[Counter Number]]="","",Table2[[#This Row],[Annual Miles Traveled:]]*IF(Table2[[#This Row],[New Engine Fuel Type:]]="ULSD",VLOOKUP(Table2[[#This Row],[New Engine Model Year:]],EFTable[],4,FALSE),VLOOKUP(Table2[[#This Row],[New Engine Fuel Type:]],EFTable[],4,FALSE)))</f>
        <v/>
      </c>
      <c r="BI190" s="191" t="str">
        <f>IF(Table2[[#This Row],[Counter Number]]="","",Table2[[#This Row],[Old Bus PM2.5 Emissions (tons/yr)]]-Table2[[#This Row],[New Bus PM2.5 Emissions (tons/yr)]])</f>
        <v/>
      </c>
      <c r="BJ190" s="192" t="str">
        <f>IF(Table2[[#This Row],[Counter Number]]="","",Table2[[#This Row],[Reduction Bus PM2.5 Emissions (tons/yr)]]/Table2[[#This Row],[Old Bus PM2.5 Emissions (tons/yr)]])</f>
        <v/>
      </c>
      <c r="BK190" s="193" t="str">
        <f>IF(Table2[[#This Row],[Counter Number]]="","",Table2[[#This Row],[Reduction Bus PM2.5 Emissions (tons/yr)]]*Table2[[#This Row],[Remaining Life:]])</f>
        <v/>
      </c>
      <c r="BL190" s="194" t="str">
        <f>IF(Table2[[#This Row],[Counter Number]]="","",IF(Table2[[#This Row],[Lifetime PM2.5 Reduction (tons)]]=0,"NA",Table2[[#This Row],[Upgrade Cost Per Unit]]/Table2[[#This Row],[Lifetime PM2.5 Reduction (tons)]]))</f>
        <v/>
      </c>
      <c r="BM190" s="179" t="str">
        <f>IF(Table2[[#This Row],[Counter Number]]="","",Table2[[#This Row],[Annual Miles Traveled:]]*VLOOKUP(Table2[[#This Row],[Engine Model Year:]],EF!$A$2:$G$40,5,FALSE))</f>
        <v/>
      </c>
      <c r="BN190" s="173" t="str">
        <f>IF(Table2[[#This Row],[Counter Number]]="","",Table2[[#This Row],[Annual Miles Traveled:]]*IF(Table2[[#This Row],[New Engine Fuel Type:]]="ULSD",VLOOKUP(Table2[[#This Row],[New Engine Model Year:]],EFTable[],5,FALSE),VLOOKUP(Table2[[#This Row],[New Engine Fuel Type:]],EFTable[],5,FALSE)))</f>
        <v/>
      </c>
      <c r="BO190" s="190" t="str">
        <f>IF(Table2[[#This Row],[Counter Number]]="","",Table2[[#This Row],[Old Bus HC Emissions (tons/yr)]]-Table2[[#This Row],[New Bus HC Emissions (tons/yr)]])</f>
        <v/>
      </c>
      <c r="BP190" s="188" t="str">
        <f>IF(Table2[[#This Row],[Counter Number]]="","",Table2[[#This Row],[Reduction Bus HC Emissions (tons/yr)]]/Table2[[#This Row],[Old Bus HC Emissions (tons/yr)]])</f>
        <v/>
      </c>
      <c r="BQ190" s="193" t="str">
        <f>IF(Table2[[#This Row],[Counter Number]]="","",Table2[[#This Row],[Reduction Bus HC Emissions (tons/yr)]]*Table2[[#This Row],[Remaining Life:]])</f>
        <v/>
      </c>
      <c r="BR190" s="194" t="str">
        <f>IF(Table2[[#This Row],[Counter Number]]="","",IF(Table2[[#This Row],[Lifetime HC Reduction (tons)]]=0,"NA",Table2[[#This Row],[Upgrade Cost Per Unit]]/Table2[[#This Row],[Lifetime HC Reduction (tons)]]))</f>
        <v/>
      </c>
      <c r="BS190" s="191" t="str">
        <f>IF(Table2[[#This Row],[Counter Number]]="","",Table2[[#This Row],[Annual Miles Traveled:]]*VLOOKUP(Table2[[#This Row],[Engine Model Year:]],EF!$A$2:$G$27,6,FALSE))</f>
        <v/>
      </c>
      <c r="BT190" s="173" t="str">
        <f>IF(Table2[[#This Row],[Counter Number]]="","",Table2[[#This Row],[Annual Miles Traveled:]]*IF(Table2[[#This Row],[New Engine Fuel Type:]]="ULSD",VLOOKUP(Table2[[#This Row],[New Engine Model Year:]],EFTable[],6,FALSE),VLOOKUP(Table2[[#This Row],[New Engine Fuel Type:]],EFTable[],6,FALSE)))</f>
        <v/>
      </c>
      <c r="BU190" s="190" t="str">
        <f>IF(Table2[[#This Row],[Counter Number]]="","",Table2[[#This Row],[Old Bus CO Emissions (tons/yr)]]-Table2[[#This Row],[New Bus CO Emissions (tons/yr)]])</f>
        <v/>
      </c>
      <c r="BV190" s="188" t="str">
        <f>IF(Table2[[#This Row],[Counter Number]]="","",Table2[[#This Row],[Reduction Bus CO Emissions (tons/yr)]]/Table2[[#This Row],[Old Bus CO Emissions (tons/yr)]])</f>
        <v/>
      </c>
      <c r="BW190" s="193" t="str">
        <f>IF(Table2[[#This Row],[Counter Number]]="","",Table2[[#This Row],[Reduction Bus CO Emissions (tons/yr)]]*Table2[[#This Row],[Remaining Life:]])</f>
        <v/>
      </c>
      <c r="BX190" s="194" t="str">
        <f>IF(Table2[[#This Row],[Counter Number]]="","",IF(Table2[[#This Row],[Lifetime CO Reduction (tons)]]=0,"NA",Table2[[#This Row],[Upgrade Cost Per Unit]]/Table2[[#This Row],[Lifetime CO Reduction (tons)]]))</f>
        <v/>
      </c>
      <c r="BY190" s="180" t="str">
        <f>IF(Table2[[#This Row],[Counter Number]]="","",Table2[[#This Row],[Old ULSD Used (gal):]]*VLOOKUP(Table2[[#This Row],[Engine Model Year:]],EF!$A$2:$G$27,7,FALSE))</f>
        <v/>
      </c>
      <c r="BZ19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0" s="195" t="str">
        <f>IF(Table2[[#This Row],[Counter Number]]="","",Table2[[#This Row],[Old Bus CO2 Emissions (tons/yr)]]-Table2[[#This Row],[New Bus CO2 Emissions (tons/yr)]])</f>
        <v/>
      </c>
      <c r="CB190" s="188" t="str">
        <f>IF(Table2[[#This Row],[Counter Number]]="","",Table2[[#This Row],[Reduction Bus CO2 Emissions (tons/yr)]]/Table2[[#This Row],[Old Bus CO2 Emissions (tons/yr)]])</f>
        <v/>
      </c>
      <c r="CC190" s="195" t="str">
        <f>IF(Table2[[#This Row],[Counter Number]]="","",Table2[[#This Row],[Reduction Bus CO2 Emissions (tons/yr)]]*Table2[[#This Row],[Remaining Life:]])</f>
        <v/>
      </c>
      <c r="CD190" s="194" t="str">
        <f>IF(Table2[[#This Row],[Counter Number]]="","",IF(Table2[[#This Row],[Lifetime CO2 Reduction (tons)]]=0,"NA",Table2[[#This Row],[Upgrade Cost Per Unit]]/Table2[[#This Row],[Lifetime CO2 Reduction (tons)]]))</f>
        <v/>
      </c>
      <c r="CE190" s="182" t="str">
        <f>IF(Table2[[#This Row],[Counter Number]]="","",IF(Table2[[#This Row],[New ULSD Used (gal):]]="",Table2[[#This Row],[Old ULSD Used (gal):]],Table2[[#This Row],[Old ULSD Used (gal):]]-Table2[[#This Row],[New ULSD Used (gal):]]))</f>
        <v/>
      </c>
      <c r="CF190" s="196" t="str">
        <f>IF(Table2[[#This Row],[Counter Number]]="","",Table2[[#This Row],[Diesel Fuel Reduction (gal/yr)]]/Table2[[#This Row],[Old ULSD Used (gal):]])</f>
        <v/>
      </c>
      <c r="CG190" s="197" t="str">
        <f>IF(Table2[[#This Row],[Counter Number]]="","",Table2[[#This Row],[Diesel Fuel Reduction (gal/yr)]]*Table2[[#This Row],[Remaining Life:]])</f>
        <v/>
      </c>
    </row>
    <row r="191" spans="1:85">
      <c r="A191" s="184" t="str">
        <f>IF(A166&lt;Application!$D$24,A166+1,"")</f>
        <v/>
      </c>
      <c r="B191" s="60" t="str">
        <f>IF(Table2[[#This Row],[Counter Number]]="","",Application!$D$16)</f>
        <v/>
      </c>
      <c r="C191" s="60" t="str">
        <f>IF(Table2[[#This Row],[Counter Number]]="","",Application!$D$14)</f>
        <v/>
      </c>
      <c r="D191" s="60" t="str">
        <f>IF(Table2[[#This Row],[Counter Number]]="","",Table1[[#This Row],[Old Bus Number]])</f>
        <v/>
      </c>
      <c r="E191" s="60" t="str">
        <f>IF(Table2[[#This Row],[Counter Number]]="","",Application!$D$15)</f>
        <v/>
      </c>
      <c r="F191" s="60" t="str">
        <f>IF(Table2[[#This Row],[Counter Number]]="","","On Highway")</f>
        <v/>
      </c>
      <c r="G191" s="60" t="str">
        <f>IF(Table2[[#This Row],[Counter Number]]="","",I191)</f>
        <v/>
      </c>
      <c r="H191" s="60" t="str">
        <f>IF(Table2[[#This Row],[Counter Number]]="","","Georgia")</f>
        <v/>
      </c>
      <c r="I191" s="60" t="str">
        <f>IF(Table2[[#This Row],[Counter Number]]="","",Application!$D$16)</f>
        <v/>
      </c>
      <c r="J191" s="60" t="str">
        <f>IF(Table2[[#This Row],[Counter Number]]="","",Application!$D$21)</f>
        <v/>
      </c>
      <c r="K191" s="60" t="str">
        <f>IF(Table2[[#This Row],[Counter Number]]="","",Application!$J$21)</f>
        <v/>
      </c>
      <c r="L191" s="60" t="str">
        <f>IF(Table2[[#This Row],[Counter Number]]="","","School Bus")</f>
        <v/>
      </c>
      <c r="M191" s="60" t="str">
        <f>IF(Table2[[#This Row],[Counter Number]]="","","School Bus")</f>
        <v/>
      </c>
      <c r="N191" s="60" t="str">
        <f>IF(Table2[[#This Row],[Counter Number]]="","",1)</f>
        <v/>
      </c>
      <c r="O191" s="60" t="str">
        <f>IF(Table2[[#This Row],[Counter Number]]="","",Table1[[#This Row],[Vehicle Identification Number(s):]])</f>
        <v/>
      </c>
      <c r="P191" s="60" t="str">
        <f>IF(Table2[[#This Row],[Counter Number]]="","",Table1[[#This Row],[Old Bus Manufacturer:]])</f>
        <v/>
      </c>
      <c r="Q191" s="60" t="str">
        <f>IF(Table2[[#This Row],[Counter Number]]="","",Table1[[#This Row],[Vehicle Model:]])</f>
        <v/>
      </c>
      <c r="R191" s="165" t="str">
        <f>IF(Table2[[#This Row],[Counter Number]]="","",Table1[[#This Row],[Vehicle Model Year:]])</f>
        <v/>
      </c>
      <c r="S191" s="60" t="str">
        <f>IF(Table2[[#This Row],[Counter Number]]="","",Table1[[#This Row],[Engine Serial Number(s):]])</f>
        <v/>
      </c>
      <c r="T191" s="60" t="str">
        <f>IF(Table2[[#This Row],[Counter Number]]="","",Table1[[#This Row],[Engine Make:]])</f>
        <v/>
      </c>
      <c r="U191" s="60" t="str">
        <f>IF(Table2[[#This Row],[Counter Number]]="","",Table1[[#This Row],[Engine Model:]])</f>
        <v/>
      </c>
      <c r="V191" s="165" t="str">
        <f>IF(Table2[[#This Row],[Counter Number]]="","",Table1[[#This Row],[Engine Model Year:]])</f>
        <v/>
      </c>
      <c r="W191" s="60" t="str">
        <f>IF(Table2[[#This Row],[Counter Number]]="","","NA")</f>
        <v/>
      </c>
      <c r="X191" s="165" t="str">
        <f>IF(Table2[[#This Row],[Counter Number]]="","",Table1[[#This Row],[Engine Horsepower (HP):]])</f>
        <v/>
      </c>
      <c r="Y191" s="165" t="str">
        <f>IF(Table2[[#This Row],[Counter Number]]="","",Table1[[#This Row],[Engine Cylinder Displacement (L):]]&amp;" L")</f>
        <v/>
      </c>
      <c r="Z191" s="165" t="str">
        <f>IF(Table2[[#This Row],[Counter Number]]="","",Table1[[#This Row],[Engine Number of Cylinders:]])</f>
        <v/>
      </c>
      <c r="AA191" s="166" t="str">
        <f>IF(Table2[[#This Row],[Counter Number]]="","",Table1[[#This Row],[Engine Family Name:]])</f>
        <v/>
      </c>
      <c r="AB191" s="60" t="str">
        <f>IF(Table2[[#This Row],[Counter Number]]="","","ULSD")</f>
        <v/>
      </c>
      <c r="AC191" s="167" t="str">
        <f>IF(Table2[[#This Row],[Counter Number]]="","",Table2[[#This Row],[Annual Miles Traveled:]]/Table1[[#This Row],[Old Fuel (mpg)]])</f>
        <v/>
      </c>
      <c r="AD191" s="60" t="str">
        <f>IF(Table2[[#This Row],[Counter Number]]="","","NA")</f>
        <v/>
      </c>
      <c r="AE191" s="168" t="str">
        <f>IF(Table2[[#This Row],[Counter Number]]="","",Table1[[#This Row],[Annual Miles Traveled]])</f>
        <v/>
      </c>
      <c r="AF191" s="169" t="str">
        <f>IF(Table2[[#This Row],[Counter Number]]="","",Table1[[#This Row],[Annual Idling Hours:]])</f>
        <v/>
      </c>
      <c r="AG191" s="60" t="str">
        <f>IF(Table2[[#This Row],[Counter Number]]="","","NA")</f>
        <v/>
      </c>
      <c r="AH191" s="165" t="str">
        <f>IF(Table2[[#This Row],[Counter Number]]="","",IF(Application!$J$25="Set Policy",Table1[[#This Row],[Remaining Life (years)         Set Policy]],Table1[[#This Row],[Remaining Life (years)               Case-by-Case]]))</f>
        <v/>
      </c>
      <c r="AI191" s="165" t="str">
        <f>IF(Table2[[#This Row],[Counter Number]]="","",IF(Application!$J$25="Case-by-Case","NA",Table2[[#This Row],[Fiscal Year of EPA Funds Used:]]+Table2[[#This Row],[Remaining Life:]]))</f>
        <v/>
      </c>
      <c r="AJ191" s="165"/>
      <c r="AK191" s="170" t="str">
        <f>IF(Table2[[#This Row],[Counter Number]]="","",Application!$D$14+1)</f>
        <v/>
      </c>
      <c r="AL191" s="60" t="str">
        <f>IF(Table2[[#This Row],[Counter Number]]="","","Vehicle Replacement")</f>
        <v/>
      </c>
      <c r="AM19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1" s="171" t="str">
        <f>IF(Table2[[#This Row],[Counter Number]]="","",Table1[[#This Row],[Cost of New Bus:]])</f>
        <v/>
      </c>
      <c r="AO191" s="60" t="str">
        <f>IF(Table2[[#This Row],[Counter Number]]="","","NA")</f>
        <v/>
      </c>
      <c r="AP191" s="165" t="str">
        <f>IF(Table2[[#This Row],[Counter Number]]="","",Table1[[#This Row],[New Engine Model Year:]])</f>
        <v/>
      </c>
      <c r="AQ191" s="60" t="str">
        <f>IF(Table2[[#This Row],[Counter Number]]="","","NA")</f>
        <v/>
      </c>
      <c r="AR191" s="165" t="str">
        <f>IF(Table2[[#This Row],[Counter Number]]="","",Table1[[#This Row],[New Engine Horsepower (HP):]])</f>
        <v/>
      </c>
      <c r="AS191" s="60" t="str">
        <f>IF(Table2[[#This Row],[Counter Number]]="","","NA")</f>
        <v/>
      </c>
      <c r="AT191" s="165" t="str">
        <f>IF(Table2[[#This Row],[Counter Number]]="","",Table1[[#This Row],[New Engine Cylinder Displacement (L):]]&amp;" L")</f>
        <v/>
      </c>
      <c r="AU191" s="114" t="str">
        <f>IF(Table2[[#This Row],[Counter Number]]="","",Table1[[#This Row],[New Engine Number of Cylinders:]])</f>
        <v/>
      </c>
      <c r="AV191" s="60" t="str">
        <f>IF(Table2[[#This Row],[Counter Number]]="","",Table1[[#This Row],[New Engine Family Name:]])</f>
        <v/>
      </c>
      <c r="AW19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1" s="60" t="str">
        <f>IF(Table2[[#This Row],[Counter Number]]="","","NA")</f>
        <v/>
      </c>
      <c r="AY191" s="172" t="str">
        <f>IF(Table2[[#This Row],[Counter Number]]="","",IF(Table2[[#This Row],[New Engine Fuel Type:]]="ULSD",Table1[[#This Row],[Annual Miles Traveled]]/Table1[[#This Row],[New Fuel (mpg) if Diesel]],""))</f>
        <v/>
      </c>
      <c r="AZ191" s="60"/>
      <c r="BA191" s="173" t="str">
        <f>IF(Table2[[#This Row],[Counter Number]]="","",Table2[[#This Row],[Annual Miles Traveled:]]*VLOOKUP(Table2[[#This Row],[Engine Model Year:]],EFTable[],3,FALSE))</f>
        <v/>
      </c>
      <c r="BB191" s="173" t="str">
        <f>IF(Table2[[#This Row],[Counter Number]]="","",Table2[[#This Row],[Annual Miles Traveled:]]*IF(Table2[[#This Row],[New Engine Fuel Type:]]="ULSD",VLOOKUP(Table2[[#This Row],[New Engine Model Year:]],EFTable[],3,FALSE),VLOOKUP(Table2[[#This Row],[New Engine Fuel Type:]],EFTable[],3,FALSE)))</f>
        <v/>
      </c>
      <c r="BC191" s="187" t="str">
        <f>IF(Table2[[#This Row],[Counter Number]]="","",Table2[[#This Row],[Old Bus NOx Emissions (tons/yr)]]-Table2[[#This Row],[New Bus NOx Emissions (tons/yr)]])</f>
        <v/>
      </c>
      <c r="BD191" s="188" t="str">
        <f>IF(Table2[[#This Row],[Counter Number]]="","",Table2[[#This Row],[Reduction Bus NOx Emissions (tons/yr)]]/Table2[[#This Row],[Old Bus NOx Emissions (tons/yr)]])</f>
        <v/>
      </c>
      <c r="BE191" s="175" t="str">
        <f>IF(Table2[[#This Row],[Counter Number]]="","",Table2[[#This Row],[Reduction Bus NOx Emissions (tons/yr)]]*Table2[[#This Row],[Remaining Life:]])</f>
        <v/>
      </c>
      <c r="BF191" s="189" t="str">
        <f>IF(Table2[[#This Row],[Counter Number]]="","",IF(Table2[[#This Row],[Lifetime NOx Reduction (tons)]]=0,"NA",Table2[[#This Row],[Upgrade Cost Per Unit]]/Table2[[#This Row],[Lifetime NOx Reduction (tons)]]))</f>
        <v/>
      </c>
      <c r="BG191" s="190" t="str">
        <f>IF(Table2[[#This Row],[Counter Number]]="","",Table2[[#This Row],[Annual Miles Traveled:]]*VLOOKUP(Table2[[#This Row],[Engine Model Year:]],EF!$A$2:$G$27,4,FALSE))</f>
        <v/>
      </c>
      <c r="BH191" s="173" t="str">
        <f>IF(Table2[[#This Row],[Counter Number]]="","",Table2[[#This Row],[Annual Miles Traveled:]]*IF(Table2[[#This Row],[New Engine Fuel Type:]]="ULSD",VLOOKUP(Table2[[#This Row],[New Engine Model Year:]],EFTable[],4,FALSE),VLOOKUP(Table2[[#This Row],[New Engine Fuel Type:]],EFTable[],4,FALSE)))</f>
        <v/>
      </c>
      <c r="BI191" s="191" t="str">
        <f>IF(Table2[[#This Row],[Counter Number]]="","",Table2[[#This Row],[Old Bus PM2.5 Emissions (tons/yr)]]-Table2[[#This Row],[New Bus PM2.5 Emissions (tons/yr)]])</f>
        <v/>
      </c>
      <c r="BJ191" s="192" t="str">
        <f>IF(Table2[[#This Row],[Counter Number]]="","",Table2[[#This Row],[Reduction Bus PM2.5 Emissions (tons/yr)]]/Table2[[#This Row],[Old Bus PM2.5 Emissions (tons/yr)]])</f>
        <v/>
      </c>
      <c r="BK191" s="193" t="str">
        <f>IF(Table2[[#This Row],[Counter Number]]="","",Table2[[#This Row],[Reduction Bus PM2.5 Emissions (tons/yr)]]*Table2[[#This Row],[Remaining Life:]])</f>
        <v/>
      </c>
      <c r="BL191" s="194" t="str">
        <f>IF(Table2[[#This Row],[Counter Number]]="","",IF(Table2[[#This Row],[Lifetime PM2.5 Reduction (tons)]]=0,"NA",Table2[[#This Row],[Upgrade Cost Per Unit]]/Table2[[#This Row],[Lifetime PM2.5 Reduction (tons)]]))</f>
        <v/>
      </c>
      <c r="BM191" s="179" t="str">
        <f>IF(Table2[[#This Row],[Counter Number]]="","",Table2[[#This Row],[Annual Miles Traveled:]]*VLOOKUP(Table2[[#This Row],[Engine Model Year:]],EF!$A$2:$G$40,5,FALSE))</f>
        <v/>
      </c>
      <c r="BN191" s="173" t="str">
        <f>IF(Table2[[#This Row],[Counter Number]]="","",Table2[[#This Row],[Annual Miles Traveled:]]*IF(Table2[[#This Row],[New Engine Fuel Type:]]="ULSD",VLOOKUP(Table2[[#This Row],[New Engine Model Year:]],EFTable[],5,FALSE),VLOOKUP(Table2[[#This Row],[New Engine Fuel Type:]],EFTable[],5,FALSE)))</f>
        <v/>
      </c>
      <c r="BO191" s="190" t="str">
        <f>IF(Table2[[#This Row],[Counter Number]]="","",Table2[[#This Row],[Old Bus HC Emissions (tons/yr)]]-Table2[[#This Row],[New Bus HC Emissions (tons/yr)]])</f>
        <v/>
      </c>
      <c r="BP191" s="188" t="str">
        <f>IF(Table2[[#This Row],[Counter Number]]="","",Table2[[#This Row],[Reduction Bus HC Emissions (tons/yr)]]/Table2[[#This Row],[Old Bus HC Emissions (tons/yr)]])</f>
        <v/>
      </c>
      <c r="BQ191" s="193" t="str">
        <f>IF(Table2[[#This Row],[Counter Number]]="","",Table2[[#This Row],[Reduction Bus HC Emissions (tons/yr)]]*Table2[[#This Row],[Remaining Life:]])</f>
        <v/>
      </c>
      <c r="BR191" s="194" t="str">
        <f>IF(Table2[[#This Row],[Counter Number]]="","",IF(Table2[[#This Row],[Lifetime HC Reduction (tons)]]=0,"NA",Table2[[#This Row],[Upgrade Cost Per Unit]]/Table2[[#This Row],[Lifetime HC Reduction (tons)]]))</f>
        <v/>
      </c>
      <c r="BS191" s="191" t="str">
        <f>IF(Table2[[#This Row],[Counter Number]]="","",Table2[[#This Row],[Annual Miles Traveled:]]*VLOOKUP(Table2[[#This Row],[Engine Model Year:]],EF!$A$2:$G$27,6,FALSE))</f>
        <v/>
      </c>
      <c r="BT191" s="173" t="str">
        <f>IF(Table2[[#This Row],[Counter Number]]="","",Table2[[#This Row],[Annual Miles Traveled:]]*IF(Table2[[#This Row],[New Engine Fuel Type:]]="ULSD",VLOOKUP(Table2[[#This Row],[New Engine Model Year:]],EFTable[],6,FALSE),VLOOKUP(Table2[[#This Row],[New Engine Fuel Type:]],EFTable[],6,FALSE)))</f>
        <v/>
      </c>
      <c r="BU191" s="190" t="str">
        <f>IF(Table2[[#This Row],[Counter Number]]="","",Table2[[#This Row],[Old Bus CO Emissions (tons/yr)]]-Table2[[#This Row],[New Bus CO Emissions (tons/yr)]])</f>
        <v/>
      </c>
      <c r="BV191" s="188" t="str">
        <f>IF(Table2[[#This Row],[Counter Number]]="","",Table2[[#This Row],[Reduction Bus CO Emissions (tons/yr)]]/Table2[[#This Row],[Old Bus CO Emissions (tons/yr)]])</f>
        <v/>
      </c>
      <c r="BW191" s="193" t="str">
        <f>IF(Table2[[#This Row],[Counter Number]]="","",Table2[[#This Row],[Reduction Bus CO Emissions (tons/yr)]]*Table2[[#This Row],[Remaining Life:]])</f>
        <v/>
      </c>
      <c r="BX191" s="194" t="str">
        <f>IF(Table2[[#This Row],[Counter Number]]="","",IF(Table2[[#This Row],[Lifetime CO Reduction (tons)]]=0,"NA",Table2[[#This Row],[Upgrade Cost Per Unit]]/Table2[[#This Row],[Lifetime CO Reduction (tons)]]))</f>
        <v/>
      </c>
      <c r="BY191" s="180" t="str">
        <f>IF(Table2[[#This Row],[Counter Number]]="","",Table2[[#This Row],[Old ULSD Used (gal):]]*VLOOKUP(Table2[[#This Row],[Engine Model Year:]],EF!$A$2:$G$27,7,FALSE))</f>
        <v/>
      </c>
      <c r="BZ19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1" s="195" t="str">
        <f>IF(Table2[[#This Row],[Counter Number]]="","",Table2[[#This Row],[Old Bus CO2 Emissions (tons/yr)]]-Table2[[#This Row],[New Bus CO2 Emissions (tons/yr)]])</f>
        <v/>
      </c>
      <c r="CB191" s="188" t="str">
        <f>IF(Table2[[#This Row],[Counter Number]]="","",Table2[[#This Row],[Reduction Bus CO2 Emissions (tons/yr)]]/Table2[[#This Row],[Old Bus CO2 Emissions (tons/yr)]])</f>
        <v/>
      </c>
      <c r="CC191" s="195" t="str">
        <f>IF(Table2[[#This Row],[Counter Number]]="","",Table2[[#This Row],[Reduction Bus CO2 Emissions (tons/yr)]]*Table2[[#This Row],[Remaining Life:]])</f>
        <v/>
      </c>
      <c r="CD191" s="194" t="str">
        <f>IF(Table2[[#This Row],[Counter Number]]="","",IF(Table2[[#This Row],[Lifetime CO2 Reduction (tons)]]=0,"NA",Table2[[#This Row],[Upgrade Cost Per Unit]]/Table2[[#This Row],[Lifetime CO2 Reduction (tons)]]))</f>
        <v/>
      </c>
      <c r="CE191" s="182" t="str">
        <f>IF(Table2[[#This Row],[Counter Number]]="","",IF(Table2[[#This Row],[New ULSD Used (gal):]]="",Table2[[#This Row],[Old ULSD Used (gal):]],Table2[[#This Row],[Old ULSD Used (gal):]]-Table2[[#This Row],[New ULSD Used (gal):]]))</f>
        <v/>
      </c>
      <c r="CF191" s="196" t="str">
        <f>IF(Table2[[#This Row],[Counter Number]]="","",Table2[[#This Row],[Diesel Fuel Reduction (gal/yr)]]/Table2[[#This Row],[Old ULSD Used (gal):]])</f>
        <v/>
      </c>
      <c r="CG191" s="197" t="str">
        <f>IF(Table2[[#This Row],[Counter Number]]="","",Table2[[#This Row],[Diesel Fuel Reduction (gal/yr)]]*Table2[[#This Row],[Remaining Life:]])</f>
        <v/>
      </c>
    </row>
    <row r="192" spans="1:85">
      <c r="A192" s="184" t="str">
        <f>IF(A167&lt;Application!$D$24,A167+1,"")</f>
        <v/>
      </c>
      <c r="B192" s="60" t="str">
        <f>IF(Table2[[#This Row],[Counter Number]]="","",Application!$D$16)</f>
        <v/>
      </c>
      <c r="C192" s="60" t="str">
        <f>IF(Table2[[#This Row],[Counter Number]]="","",Application!$D$14)</f>
        <v/>
      </c>
      <c r="D192" s="60" t="str">
        <f>IF(Table2[[#This Row],[Counter Number]]="","",Table1[[#This Row],[Old Bus Number]])</f>
        <v/>
      </c>
      <c r="E192" s="60" t="str">
        <f>IF(Table2[[#This Row],[Counter Number]]="","",Application!$D$15)</f>
        <v/>
      </c>
      <c r="F192" s="60" t="str">
        <f>IF(Table2[[#This Row],[Counter Number]]="","","On Highway")</f>
        <v/>
      </c>
      <c r="G192" s="60" t="str">
        <f>IF(Table2[[#This Row],[Counter Number]]="","",I192)</f>
        <v/>
      </c>
      <c r="H192" s="60" t="str">
        <f>IF(Table2[[#This Row],[Counter Number]]="","","Georgia")</f>
        <v/>
      </c>
      <c r="I192" s="60" t="str">
        <f>IF(Table2[[#This Row],[Counter Number]]="","",Application!$D$16)</f>
        <v/>
      </c>
      <c r="J192" s="60" t="str">
        <f>IF(Table2[[#This Row],[Counter Number]]="","",Application!$D$21)</f>
        <v/>
      </c>
      <c r="K192" s="60" t="str">
        <f>IF(Table2[[#This Row],[Counter Number]]="","",Application!$J$21)</f>
        <v/>
      </c>
      <c r="L192" s="60" t="str">
        <f>IF(Table2[[#This Row],[Counter Number]]="","","School Bus")</f>
        <v/>
      </c>
      <c r="M192" s="60" t="str">
        <f>IF(Table2[[#This Row],[Counter Number]]="","","School Bus")</f>
        <v/>
      </c>
      <c r="N192" s="60" t="str">
        <f>IF(Table2[[#This Row],[Counter Number]]="","",1)</f>
        <v/>
      </c>
      <c r="O192" s="60" t="str">
        <f>IF(Table2[[#This Row],[Counter Number]]="","",Table1[[#This Row],[Vehicle Identification Number(s):]])</f>
        <v/>
      </c>
      <c r="P192" s="60" t="str">
        <f>IF(Table2[[#This Row],[Counter Number]]="","",Table1[[#This Row],[Old Bus Manufacturer:]])</f>
        <v/>
      </c>
      <c r="Q192" s="60" t="str">
        <f>IF(Table2[[#This Row],[Counter Number]]="","",Table1[[#This Row],[Vehicle Model:]])</f>
        <v/>
      </c>
      <c r="R192" s="165" t="str">
        <f>IF(Table2[[#This Row],[Counter Number]]="","",Table1[[#This Row],[Vehicle Model Year:]])</f>
        <v/>
      </c>
      <c r="S192" s="60" t="str">
        <f>IF(Table2[[#This Row],[Counter Number]]="","",Table1[[#This Row],[Engine Serial Number(s):]])</f>
        <v/>
      </c>
      <c r="T192" s="60" t="str">
        <f>IF(Table2[[#This Row],[Counter Number]]="","",Table1[[#This Row],[Engine Make:]])</f>
        <v/>
      </c>
      <c r="U192" s="60" t="str">
        <f>IF(Table2[[#This Row],[Counter Number]]="","",Table1[[#This Row],[Engine Model:]])</f>
        <v/>
      </c>
      <c r="V192" s="165" t="str">
        <f>IF(Table2[[#This Row],[Counter Number]]="","",Table1[[#This Row],[Engine Model Year:]])</f>
        <v/>
      </c>
      <c r="W192" s="60" t="str">
        <f>IF(Table2[[#This Row],[Counter Number]]="","","NA")</f>
        <v/>
      </c>
      <c r="X192" s="165" t="str">
        <f>IF(Table2[[#This Row],[Counter Number]]="","",Table1[[#This Row],[Engine Horsepower (HP):]])</f>
        <v/>
      </c>
      <c r="Y192" s="165" t="str">
        <f>IF(Table2[[#This Row],[Counter Number]]="","",Table1[[#This Row],[Engine Cylinder Displacement (L):]]&amp;" L")</f>
        <v/>
      </c>
      <c r="Z192" s="165" t="str">
        <f>IF(Table2[[#This Row],[Counter Number]]="","",Table1[[#This Row],[Engine Number of Cylinders:]])</f>
        <v/>
      </c>
      <c r="AA192" s="166" t="str">
        <f>IF(Table2[[#This Row],[Counter Number]]="","",Table1[[#This Row],[Engine Family Name:]])</f>
        <v/>
      </c>
      <c r="AB192" s="60" t="str">
        <f>IF(Table2[[#This Row],[Counter Number]]="","","ULSD")</f>
        <v/>
      </c>
      <c r="AC192" s="167" t="str">
        <f>IF(Table2[[#This Row],[Counter Number]]="","",Table2[[#This Row],[Annual Miles Traveled:]]/Table1[[#This Row],[Old Fuel (mpg)]])</f>
        <v/>
      </c>
      <c r="AD192" s="60" t="str">
        <f>IF(Table2[[#This Row],[Counter Number]]="","","NA")</f>
        <v/>
      </c>
      <c r="AE192" s="168" t="str">
        <f>IF(Table2[[#This Row],[Counter Number]]="","",Table1[[#This Row],[Annual Miles Traveled]])</f>
        <v/>
      </c>
      <c r="AF192" s="169" t="str">
        <f>IF(Table2[[#This Row],[Counter Number]]="","",Table1[[#This Row],[Annual Idling Hours:]])</f>
        <v/>
      </c>
      <c r="AG192" s="60" t="str">
        <f>IF(Table2[[#This Row],[Counter Number]]="","","NA")</f>
        <v/>
      </c>
      <c r="AH192" s="165" t="str">
        <f>IF(Table2[[#This Row],[Counter Number]]="","",IF(Application!$J$25="Set Policy",Table1[[#This Row],[Remaining Life (years)         Set Policy]],Table1[[#This Row],[Remaining Life (years)               Case-by-Case]]))</f>
        <v/>
      </c>
      <c r="AI192" s="165" t="str">
        <f>IF(Table2[[#This Row],[Counter Number]]="","",IF(Application!$J$25="Case-by-Case","NA",Table2[[#This Row],[Fiscal Year of EPA Funds Used:]]+Table2[[#This Row],[Remaining Life:]]))</f>
        <v/>
      </c>
      <c r="AJ192" s="165"/>
      <c r="AK192" s="170" t="str">
        <f>IF(Table2[[#This Row],[Counter Number]]="","",Application!$D$14+1)</f>
        <v/>
      </c>
      <c r="AL192" s="60" t="str">
        <f>IF(Table2[[#This Row],[Counter Number]]="","","Vehicle Replacement")</f>
        <v/>
      </c>
      <c r="AM19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2" s="171" t="str">
        <f>IF(Table2[[#This Row],[Counter Number]]="","",Table1[[#This Row],[Cost of New Bus:]])</f>
        <v/>
      </c>
      <c r="AO192" s="60" t="str">
        <f>IF(Table2[[#This Row],[Counter Number]]="","","NA")</f>
        <v/>
      </c>
      <c r="AP192" s="165" t="str">
        <f>IF(Table2[[#This Row],[Counter Number]]="","",Table1[[#This Row],[New Engine Model Year:]])</f>
        <v/>
      </c>
      <c r="AQ192" s="60" t="str">
        <f>IF(Table2[[#This Row],[Counter Number]]="","","NA")</f>
        <v/>
      </c>
      <c r="AR192" s="165" t="str">
        <f>IF(Table2[[#This Row],[Counter Number]]="","",Table1[[#This Row],[New Engine Horsepower (HP):]])</f>
        <v/>
      </c>
      <c r="AS192" s="60" t="str">
        <f>IF(Table2[[#This Row],[Counter Number]]="","","NA")</f>
        <v/>
      </c>
      <c r="AT192" s="165" t="str">
        <f>IF(Table2[[#This Row],[Counter Number]]="","",Table1[[#This Row],[New Engine Cylinder Displacement (L):]]&amp;" L")</f>
        <v/>
      </c>
      <c r="AU192" s="114" t="str">
        <f>IF(Table2[[#This Row],[Counter Number]]="","",Table1[[#This Row],[New Engine Number of Cylinders:]])</f>
        <v/>
      </c>
      <c r="AV192" s="60" t="str">
        <f>IF(Table2[[#This Row],[Counter Number]]="","",Table1[[#This Row],[New Engine Family Name:]])</f>
        <v/>
      </c>
      <c r="AW19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2" s="60" t="str">
        <f>IF(Table2[[#This Row],[Counter Number]]="","","NA")</f>
        <v/>
      </c>
      <c r="AY192" s="172" t="str">
        <f>IF(Table2[[#This Row],[Counter Number]]="","",IF(Table2[[#This Row],[New Engine Fuel Type:]]="ULSD",Table1[[#This Row],[Annual Miles Traveled]]/Table1[[#This Row],[New Fuel (mpg) if Diesel]],""))</f>
        <v/>
      </c>
      <c r="AZ192" s="60"/>
      <c r="BA192" s="173" t="str">
        <f>IF(Table2[[#This Row],[Counter Number]]="","",Table2[[#This Row],[Annual Miles Traveled:]]*VLOOKUP(Table2[[#This Row],[Engine Model Year:]],EFTable[],3,FALSE))</f>
        <v/>
      </c>
      <c r="BB192" s="173" t="str">
        <f>IF(Table2[[#This Row],[Counter Number]]="","",Table2[[#This Row],[Annual Miles Traveled:]]*IF(Table2[[#This Row],[New Engine Fuel Type:]]="ULSD",VLOOKUP(Table2[[#This Row],[New Engine Model Year:]],EFTable[],3,FALSE),VLOOKUP(Table2[[#This Row],[New Engine Fuel Type:]],EFTable[],3,FALSE)))</f>
        <v/>
      </c>
      <c r="BC192" s="187" t="str">
        <f>IF(Table2[[#This Row],[Counter Number]]="","",Table2[[#This Row],[Old Bus NOx Emissions (tons/yr)]]-Table2[[#This Row],[New Bus NOx Emissions (tons/yr)]])</f>
        <v/>
      </c>
      <c r="BD192" s="188" t="str">
        <f>IF(Table2[[#This Row],[Counter Number]]="","",Table2[[#This Row],[Reduction Bus NOx Emissions (tons/yr)]]/Table2[[#This Row],[Old Bus NOx Emissions (tons/yr)]])</f>
        <v/>
      </c>
      <c r="BE192" s="175" t="str">
        <f>IF(Table2[[#This Row],[Counter Number]]="","",Table2[[#This Row],[Reduction Bus NOx Emissions (tons/yr)]]*Table2[[#This Row],[Remaining Life:]])</f>
        <v/>
      </c>
      <c r="BF192" s="189" t="str">
        <f>IF(Table2[[#This Row],[Counter Number]]="","",IF(Table2[[#This Row],[Lifetime NOx Reduction (tons)]]=0,"NA",Table2[[#This Row],[Upgrade Cost Per Unit]]/Table2[[#This Row],[Lifetime NOx Reduction (tons)]]))</f>
        <v/>
      </c>
      <c r="BG192" s="190" t="str">
        <f>IF(Table2[[#This Row],[Counter Number]]="","",Table2[[#This Row],[Annual Miles Traveled:]]*VLOOKUP(Table2[[#This Row],[Engine Model Year:]],EF!$A$2:$G$27,4,FALSE))</f>
        <v/>
      </c>
      <c r="BH192" s="173" t="str">
        <f>IF(Table2[[#This Row],[Counter Number]]="","",Table2[[#This Row],[Annual Miles Traveled:]]*IF(Table2[[#This Row],[New Engine Fuel Type:]]="ULSD",VLOOKUP(Table2[[#This Row],[New Engine Model Year:]],EFTable[],4,FALSE),VLOOKUP(Table2[[#This Row],[New Engine Fuel Type:]],EFTable[],4,FALSE)))</f>
        <v/>
      </c>
      <c r="BI192" s="191" t="str">
        <f>IF(Table2[[#This Row],[Counter Number]]="","",Table2[[#This Row],[Old Bus PM2.5 Emissions (tons/yr)]]-Table2[[#This Row],[New Bus PM2.5 Emissions (tons/yr)]])</f>
        <v/>
      </c>
      <c r="BJ192" s="192" t="str">
        <f>IF(Table2[[#This Row],[Counter Number]]="","",Table2[[#This Row],[Reduction Bus PM2.5 Emissions (tons/yr)]]/Table2[[#This Row],[Old Bus PM2.5 Emissions (tons/yr)]])</f>
        <v/>
      </c>
      <c r="BK192" s="193" t="str">
        <f>IF(Table2[[#This Row],[Counter Number]]="","",Table2[[#This Row],[Reduction Bus PM2.5 Emissions (tons/yr)]]*Table2[[#This Row],[Remaining Life:]])</f>
        <v/>
      </c>
      <c r="BL192" s="194" t="str">
        <f>IF(Table2[[#This Row],[Counter Number]]="","",IF(Table2[[#This Row],[Lifetime PM2.5 Reduction (tons)]]=0,"NA",Table2[[#This Row],[Upgrade Cost Per Unit]]/Table2[[#This Row],[Lifetime PM2.5 Reduction (tons)]]))</f>
        <v/>
      </c>
      <c r="BM192" s="179" t="str">
        <f>IF(Table2[[#This Row],[Counter Number]]="","",Table2[[#This Row],[Annual Miles Traveled:]]*VLOOKUP(Table2[[#This Row],[Engine Model Year:]],EF!$A$2:$G$40,5,FALSE))</f>
        <v/>
      </c>
      <c r="BN192" s="173" t="str">
        <f>IF(Table2[[#This Row],[Counter Number]]="","",Table2[[#This Row],[Annual Miles Traveled:]]*IF(Table2[[#This Row],[New Engine Fuel Type:]]="ULSD",VLOOKUP(Table2[[#This Row],[New Engine Model Year:]],EFTable[],5,FALSE),VLOOKUP(Table2[[#This Row],[New Engine Fuel Type:]],EFTable[],5,FALSE)))</f>
        <v/>
      </c>
      <c r="BO192" s="190" t="str">
        <f>IF(Table2[[#This Row],[Counter Number]]="","",Table2[[#This Row],[Old Bus HC Emissions (tons/yr)]]-Table2[[#This Row],[New Bus HC Emissions (tons/yr)]])</f>
        <v/>
      </c>
      <c r="BP192" s="188" t="str">
        <f>IF(Table2[[#This Row],[Counter Number]]="","",Table2[[#This Row],[Reduction Bus HC Emissions (tons/yr)]]/Table2[[#This Row],[Old Bus HC Emissions (tons/yr)]])</f>
        <v/>
      </c>
      <c r="BQ192" s="193" t="str">
        <f>IF(Table2[[#This Row],[Counter Number]]="","",Table2[[#This Row],[Reduction Bus HC Emissions (tons/yr)]]*Table2[[#This Row],[Remaining Life:]])</f>
        <v/>
      </c>
      <c r="BR192" s="194" t="str">
        <f>IF(Table2[[#This Row],[Counter Number]]="","",IF(Table2[[#This Row],[Lifetime HC Reduction (tons)]]=0,"NA",Table2[[#This Row],[Upgrade Cost Per Unit]]/Table2[[#This Row],[Lifetime HC Reduction (tons)]]))</f>
        <v/>
      </c>
      <c r="BS192" s="191" t="str">
        <f>IF(Table2[[#This Row],[Counter Number]]="","",Table2[[#This Row],[Annual Miles Traveled:]]*VLOOKUP(Table2[[#This Row],[Engine Model Year:]],EF!$A$2:$G$27,6,FALSE))</f>
        <v/>
      </c>
      <c r="BT192" s="173" t="str">
        <f>IF(Table2[[#This Row],[Counter Number]]="","",Table2[[#This Row],[Annual Miles Traveled:]]*IF(Table2[[#This Row],[New Engine Fuel Type:]]="ULSD",VLOOKUP(Table2[[#This Row],[New Engine Model Year:]],EFTable[],6,FALSE),VLOOKUP(Table2[[#This Row],[New Engine Fuel Type:]],EFTable[],6,FALSE)))</f>
        <v/>
      </c>
      <c r="BU192" s="190" t="str">
        <f>IF(Table2[[#This Row],[Counter Number]]="","",Table2[[#This Row],[Old Bus CO Emissions (tons/yr)]]-Table2[[#This Row],[New Bus CO Emissions (tons/yr)]])</f>
        <v/>
      </c>
      <c r="BV192" s="188" t="str">
        <f>IF(Table2[[#This Row],[Counter Number]]="","",Table2[[#This Row],[Reduction Bus CO Emissions (tons/yr)]]/Table2[[#This Row],[Old Bus CO Emissions (tons/yr)]])</f>
        <v/>
      </c>
      <c r="BW192" s="193" t="str">
        <f>IF(Table2[[#This Row],[Counter Number]]="","",Table2[[#This Row],[Reduction Bus CO Emissions (tons/yr)]]*Table2[[#This Row],[Remaining Life:]])</f>
        <v/>
      </c>
      <c r="BX192" s="194" t="str">
        <f>IF(Table2[[#This Row],[Counter Number]]="","",IF(Table2[[#This Row],[Lifetime CO Reduction (tons)]]=0,"NA",Table2[[#This Row],[Upgrade Cost Per Unit]]/Table2[[#This Row],[Lifetime CO Reduction (tons)]]))</f>
        <v/>
      </c>
      <c r="BY192" s="180" t="str">
        <f>IF(Table2[[#This Row],[Counter Number]]="","",Table2[[#This Row],[Old ULSD Used (gal):]]*VLOOKUP(Table2[[#This Row],[Engine Model Year:]],EF!$A$2:$G$27,7,FALSE))</f>
        <v/>
      </c>
      <c r="BZ19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2" s="195" t="str">
        <f>IF(Table2[[#This Row],[Counter Number]]="","",Table2[[#This Row],[Old Bus CO2 Emissions (tons/yr)]]-Table2[[#This Row],[New Bus CO2 Emissions (tons/yr)]])</f>
        <v/>
      </c>
      <c r="CB192" s="188" t="str">
        <f>IF(Table2[[#This Row],[Counter Number]]="","",Table2[[#This Row],[Reduction Bus CO2 Emissions (tons/yr)]]/Table2[[#This Row],[Old Bus CO2 Emissions (tons/yr)]])</f>
        <v/>
      </c>
      <c r="CC192" s="195" t="str">
        <f>IF(Table2[[#This Row],[Counter Number]]="","",Table2[[#This Row],[Reduction Bus CO2 Emissions (tons/yr)]]*Table2[[#This Row],[Remaining Life:]])</f>
        <v/>
      </c>
      <c r="CD192" s="194" t="str">
        <f>IF(Table2[[#This Row],[Counter Number]]="","",IF(Table2[[#This Row],[Lifetime CO2 Reduction (tons)]]=0,"NA",Table2[[#This Row],[Upgrade Cost Per Unit]]/Table2[[#This Row],[Lifetime CO2 Reduction (tons)]]))</f>
        <v/>
      </c>
      <c r="CE192" s="182" t="str">
        <f>IF(Table2[[#This Row],[Counter Number]]="","",IF(Table2[[#This Row],[New ULSD Used (gal):]]="",Table2[[#This Row],[Old ULSD Used (gal):]],Table2[[#This Row],[Old ULSD Used (gal):]]-Table2[[#This Row],[New ULSD Used (gal):]]))</f>
        <v/>
      </c>
      <c r="CF192" s="196" t="str">
        <f>IF(Table2[[#This Row],[Counter Number]]="","",Table2[[#This Row],[Diesel Fuel Reduction (gal/yr)]]/Table2[[#This Row],[Old ULSD Used (gal):]])</f>
        <v/>
      </c>
      <c r="CG192" s="197" t="str">
        <f>IF(Table2[[#This Row],[Counter Number]]="","",Table2[[#This Row],[Diesel Fuel Reduction (gal/yr)]]*Table2[[#This Row],[Remaining Life:]])</f>
        <v/>
      </c>
    </row>
    <row r="193" spans="1:85">
      <c r="A193" s="184" t="str">
        <f>IF(A168&lt;Application!$D$24,A168+1,"")</f>
        <v/>
      </c>
      <c r="B193" s="60" t="str">
        <f>IF(Table2[[#This Row],[Counter Number]]="","",Application!$D$16)</f>
        <v/>
      </c>
      <c r="C193" s="60" t="str">
        <f>IF(Table2[[#This Row],[Counter Number]]="","",Application!$D$14)</f>
        <v/>
      </c>
      <c r="D193" s="60" t="str">
        <f>IF(Table2[[#This Row],[Counter Number]]="","",Table1[[#This Row],[Old Bus Number]])</f>
        <v/>
      </c>
      <c r="E193" s="60" t="str">
        <f>IF(Table2[[#This Row],[Counter Number]]="","",Application!$D$15)</f>
        <v/>
      </c>
      <c r="F193" s="60" t="str">
        <f>IF(Table2[[#This Row],[Counter Number]]="","","On Highway")</f>
        <v/>
      </c>
      <c r="G193" s="60" t="str">
        <f>IF(Table2[[#This Row],[Counter Number]]="","",I193)</f>
        <v/>
      </c>
      <c r="H193" s="60" t="str">
        <f>IF(Table2[[#This Row],[Counter Number]]="","","Georgia")</f>
        <v/>
      </c>
      <c r="I193" s="60" t="str">
        <f>IF(Table2[[#This Row],[Counter Number]]="","",Application!$D$16)</f>
        <v/>
      </c>
      <c r="J193" s="60" t="str">
        <f>IF(Table2[[#This Row],[Counter Number]]="","",Application!$D$21)</f>
        <v/>
      </c>
      <c r="K193" s="60" t="str">
        <f>IF(Table2[[#This Row],[Counter Number]]="","",Application!$J$21)</f>
        <v/>
      </c>
      <c r="L193" s="60" t="str">
        <f>IF(Table2[[#This Row],[Counter Number]]="","","School Bus")</f>
        <v/>
      </c>
      <c r="M193" s="60" t="str">
        <f>IF(Table2[[#This Row],[Counter Number]]="","","School Bus")</f>
        <v/>
      </c>
      <c r="N193" s="60" t="str">
        <f>IF(Table2[[#This Row],[Counter Number]]="","",1)</f>
        <v/>
      </c>
      <c r="O193" s="60" t="str">
        <f>IF(Table2[[#This Row],[Counter Number]]="","",Table1[[#This Row],[Vehicle Identification Number(s):]])</f>
        <v/>
      </c>
      <c r="P193" s="60" t="str">
        <f>IF(Table2[[#This Row],[Counter Number]]="","",Table1[[#This Row],[Old Bus Manufacturer:]])</f>
        <v/>
      </c>
      <c r="Q193" s="60" t="str">
        <f>IF(Table2[[#This Row],[Counter Number]]="","",Table1[[#This Row],[Vehicle Model:]])</f>
        <v/>
      </c>
      <c r="R193" s="165" t="str">
        <f>IF(Table2[[#This Row],[Counter Number]]="","",Table1[[#This Row],[Vehicle Model Year:]])</f>
        <v/>
      </c>
      <c r="S193" s="60" t="str">
        <f>IF(Table2[[#This Row],[Counter Number]]="","",Table1[[#This Row],[Engine Serial Number(s):]])</f>
        <v/>
      </c>
      <c r="T193" s="60" t="str">
        <f>IF(Table2[[#This Row],[Counter Number]]="","",Table1[[#This Row],[Engine Make:]])</f>
        <v/>
      </c>
      <c r="U193" s="60" t="str">
        <f>IF(Table2[[#This Row],[Counter Number]]="","",Table1[[#This Row],[Engine Model:]])</f>
        <v/>
      </c>
      <c r="V193" s="165" t="str">
        <f>IF(Table2[[#This Row],[Counter Number]]="","",Table1[[#This Row],[Engine Model Year:]])</f>
        <v/>
      </c>
      <c r="W193" s="60" t="str">
        <f>IF(Table2[[#This Row],[Counter Number]]="","","NA")</f>
        <v/>
      </c>
      <c r="X193" s="165" t="str">
        <f>IF(Table2[[#This Row],[Counter Number]]="","",Table1[[#This Row],[Engine Horsepower (HP):]])</f>
        <v/>
      </c>
      <c r="Y193" s="165" t="str">
        <f>IF(Table2[[#This Row],[Counter Number]]="","",Table1[[#This Row],[Engine Cylinder Displacement (L):]]&amp;" L")</f>
        <v/>
      </c>
      <c r="Z193" s="165" t="str">
        <f>IF(Table2[[#This Row],[Counter Number]]="","",Table1[[#This Row],[Engine Number of Cylinders:]])</f>
        <v/>
      </c>
      <c r="AA193" s="166" t="str">
        <f>IF(Table2[[#This Row],[Counter Number]]="","",Table1[[#This Row],[Engine Family Name:]])</f>
        <v/>
      </c>
      <c r="AB193" s="60" t="str">
        <f>IF(Table2[[#This Row],[Counter Number]]="","","ULSD")</f>
        <v/>
      </c>
      <c r="AC193" s="167" t="str">
        <f>IF(Table2[[#This Row],[Counter Number]]="","",Table2[[#This Row],[Annual Miles Traveled:]]/Table1[[#This Row],[Old Fuel (mpg)]])</f>
        <v/>
      </c>
      <c r="AD193" s="60" t="str">
        <f>IF(Table2[[#This Row],[Counter Number]]="","","NA")</f>
        <v/>
      </c>
      <c r="AE193" s="168" t="str">
        <f>IF(Table2[[#This Row],[Counter Number]]="","",Table1[[#This Row],[Annual Miles Traveled]])</f>
        <v/>
      </c>
      <c r="AF193" s="169" t="str">
        <f>IF(Table2[[#This Row],[Counter Number]]="","",Table1[[#This Row],[Annual Idling Hours:]])</f>
        <v/>
      </c>
      <c r="AG193" s="60" t="str">
        <f>IF(Table2[[#This Row],[Counter Number]]="","","NA")</f>
        <v/>
      </c>
      <c r="AH193" s="165" t="str">
        <f>IF(Table2[[#This Row],[Counter Number]]="","",IF(Application!$J$25="Set Policy",Table1[[#This Row],[Remaining Life (years)         Set Policy]],Table1[[#This Row],[Remaining Life (years)               Case-by-Case]]))</f>
        <v/>
      </c>
      <c r="AI193" s="165" t="str">
        <f>IF(Table2[[#This Row],[Counter Number]]="","",IF(Application!$J$25="Case-by-Case","NA",Table2[[#This Row],[Fiscal Year of EPA Funds Used:]]+Table2[[#This Row],[Remaining Life:]]))</f>
        <v/>
      </c>
      <c r="AJ193" s="165"/>
      <c r="AK193" s="170" t="str">
        <f>IF(Table2[[#This Row],[Counter Number]]="","",Application!$D$14+1)</f>
        <v/>
      </c>
      <c r="AL193" s="60" t="str">
        <f>IF(Table2[[#This Row],[Counter Number]]="","","Vehicle Replacement")</f>
        <v/>
      </c>
      <c r="AM19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3" s="171" t="str">
        <f>IF(Table2[[#This Row],[Counter Number]]="","",Table1[[#This Row],[Cost of New Bus:]])</f>
        <v/>
      </c>
      <c r="AO193" s="60" t="str">
        <f>IF(Table2[[#This Row],[Counter Number]]="","","NA")</f>
        <v/>
      </c>
      <c r="AP193" s="165" t="str">
        <f>IF(Table2[[#This Row],[Counter Number]]="","",Table1[[#This Row],[New Engine Model Year:]])</f>
        <v/>
      </c>
      <c r="AQ193" s="60" t="str">
        <f>IF(Table2[[#This Row],[Counter Number]]="","","NA")</f>
        <v/>
      </c>
      <c r="AR193" s="165" t="str">
        <f>IF(Table2[[#This Row],[Counter Number]]="","",Table1[[#This Row],[New Engine Horsepower (HP):]])</f>
        <v/>
      </c>
      <c r="AS193" s="60" t="str">
        <f>IF(Table2[[#This Row],[Counter Number]]="","","NA")</f>
        <v/>
      </c>
      <c r="AT193" s="165" t="str">
        <f>IF(Table2[[#This Row],[Counter Number]]="","",Table1[[#This Row],[New Engine Cylinder Displacement (L):]]&amp;" L")</f>
        <v/>
      </c>
      <c r="AU193" s="114" t="str">
        <f>IF(Table2[[#This Row],[Counter Number]]="","",Table1[[#This Row],[New Engine Number of Cylinders:]])</f>
        <v/>
      </c>
      <c r="AV193" s="60" t="str">
        <f>IF(Table2[[#This Row],[Counter Number]]="","",Table1[[#This Row],[New Engine Family Name:]])</f>
        <v/>
      </c>
      <c r="AW19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3" s="60" t="str">
        <f>IF(Table2[[#This Row],[Counter Number]]="","","NA")</f>
        <v/>
      </c>
      <c r="AY193" s="172" t="str">
        <f>IF(Table2[[#This Row],[Counter Number]]="","",IF(Table2[[#This Row],[New Engine Fuel Type:]]="ULSD",Table1[[#This Row],[Annual Miles Traveled]]/Table1[[#This Row],[New Fuel (mpg) if Diesel]],""))</f>
        <v/>
      </c>
      <c r="AZ193" s="60"/>
      <c r="BA193" s="173" t="str">
        <f>IF(Table2[[#This Row],[Counter Number]]="","",Table2[[#This Row],[Annual Miles Traveled:]]*VLOOKUP(Table2[[#This Row],[Engine Model Year:]],EFTable[],3,FALSE))</f>
        <v/>
      </c>
      <c r="BB193" s="173" t="str">
        <f>IF(Table2[[#This Row],[Counter Number]]="","",Table2[[#This Row],[Annual Miles Traveled:]]*IF(Table2[[#This Row],[New Engine Fuel Type:]]="ULSD",VLOOKUP(Table2[[#This Row],[New Engine Model Year:]],EFTable[],3,FALSE),VLOOKUP(Table2[[#This Row],[New Engine Fuel Type:]],EFTable[],3,FALSE)))</f>
        <v/>
      </c>
      <c r="BC193" s="187" t="str">
        <f>IF(Table2[[#This Row],[Counter Number]]="","",Table2[[#This Row],[Old Bus NOx Emissions (tons/yr)]]-Table2[[#This Row],[New Bus NOx Emissions (tons/yr)]])</f>
        <v/>
      </c>
      <c r="BD193" s="188" t="str">
        <f>IF(Table2[[#This Row],[Counter Number]]="","",Table2[[#This Row],[Reduction Bus NOx Emissions (tons/yr)]]/Table2[[#This Row],[Old Bus NOx Emissions (tons/yr)]])</f>
        <v/>
      </c>
      <c r="BE193" s="175" t="str">
        <f>IF(Table2[[#This Row],[Counter Number]]="","",Table2[[#This Row],[Reduction Bus NOx Emissions (tons/yr)]]*Table2[[#This Row],[Remaining Life:]])</f>
        <v/>
      </c>
      <c r="BF193" s="189" t="str">
        <f>IF(Table2[[#This Row],[Counter Number]]="","",IF(Table2[[#This Row],[Lifetime NOx Reduction (tons)]]=0,"NA",Table2[[#This Row],[Upgrade Cost Per Unit]]/Table2[[#This Row],[Lifetime NOx Reduction (tons)]]))</f>
        <v/>
      </c>
      <c r="BG193" s="190" t="str">
        <f>IF(Table2[[#This Row],[Counter Number]]="","",Table2[[#This Row],[Annual Miles Traveled:]]*VLOOKUP(Table2[[#This Row],[Engine Model Year:]],EF!$A$2:$G$27,4,FALSE))</f>
        <v/>
      </c>
      <c r="BH193" s="173" t="str">
        <f>IF(Table2[[#This Row],[Counter Number]]="","",Table2[[#This Row],[Annual Miles Traveled:]]*IF(Table2[[#This Row],[New Engine Fuel Type:]]="ULSD",VLOOKUP(Table2[[#This Row],[New Engine Model Year:]],EFTable[],4,FALSE),VLOOKUP(Table2[[#This Row],[New Engine Fuel Type:]],EFTable[],4,FALSE)))</f>
        <v/>
      </c>
      <c r="BI193" s="191" t="str">
        <f>IF(Table2[[#This Row],[Counter Number]]="","",Table2[[#This Row],[Old Bus PM2.5 Emissions (tons/yr)]]-Table2[[#This Row],[New Bus PM2.5 Emissions (tons/yr)]])</f>
        <v/>
      </c>
      <c r="BJ193" s="192" t="str">
        <f>IF(Table2[[#This Row],[Counter Number]]="","",Table2[[#This Row],[Reduction Bus PM2.5 Emissions (tons/yr)]]/Table2[[#This Row],[Old Bus PM2.5 Emissions (tons/yr)]])</f>
        <v/>
      </c>
      <c r="BK193" s="193" t="str">
        <f>IF(Table2[[#This Row],[Counter Number]]="","",Table2[[#This Row],[Reduction Bus PM2.5 Emissions (tons/yr)]]*Table2[[#This Row],[Remaining Life:]])</f>
        <v/>
      </c>
      <c r="BL193" s="194" t="str">
        <f>IF(Table2[[#This Row],[Counter Number]]="","",IF(Table2[[#This Row],[Lifetime PM2.5 Reduction (tons)]]=0,"NA",Table2[[#This Row],[Upgrade Cost Per Unit]]/Table2[[#This Row],[Lifetime PM2.5 Reduction (tons)]]))</f>
        <v/>
      </c>
      <c r="BM193" s="179" t="str">
        <f>IF(Table2[[#This Row],[Counter Number]]="","",Table2[[#This Row],[Annual Miles Traveled:]]*VLOOKUP(Table2[[#This Row],[Engine Model Year:]],EF!$A$2:$G$40,5,FALSE))</f>
        <v/>
      </c>
      <c r="BN193" s="173" t="str">
        <f>IF(Table2[[#This Row],[Counter Number]]="","",Table2[[#This Row],[Annual Miles Traveled:]]*IF(Table2[[#This Row],[New Engine Fuel Type:]]="ULSD",VLOOKUP(Table2[[#This Row],[New Engine Model Year:]],EFTable[],5,FALSE),VLOOKUP(Table2[[#This Row],[New Engine Fuel Type:]],EFTable[],5,FALSE)))</f>
        <v/>
      </c>
      <c r="BO193" s="190" t="str">
        <f>IF(Table2[[#This Row],[Counter Number]]="","",Table2[[#This Row],[Old Bus HC Emissions (tons/yr)]]-Table2[[#This Row],[New Bus HC Emissions (tons/yr)]])</f>
        <v/>
      </c>
      <c r="BP193" s="188" t="str">
        <f>IF(Table2[[#This Row],[Counter Number]]="","",Table2[[#This Row],[Reduction Bus HC Emissions (tons/yr)]]/Table2[[#This Row],[Old Bus HC Emissions (tons/yr)]])</f>
        <v/>
      </c>
      <c r="BQ193" s="193" t="str">
        <f>IF(Table2[[#This Row],[Counter Number]]="","",Table2[[#This Row],[Reduction Bus HC Emissions (tons/yr)]]*Table2[[#This Row],[Remaining Life:]])</f>
        <v/>
      </c>
      <c r="BR193" s="194" t="str">
        <f>IF(Table2[[#This Row],[Counter Number]]="","",IF(Table2[[#This Row],[Lifetime HC Reduction (tons)]]=0,"NA",Table2[[#This Row],[Upgrade Cost Per Unit]]/Table2[[#This Row],[Lifetime HC Reduction (tons)]]))</f>
        <v/>
      </c>
      <c r="BS193" s="191" t="str">
        <f>IF(Table2[[#This Row],[Counter Number]]="","",Table2[[#This Row],[Annual Miles Traveled:]]*VLOOKUP(Table2[[#This Row],[Engine Model Year:]],EF!$A$2:$G$27,6,FALSE))</f>
        <v/>
      </c>
      <c r="BT193" s="173" t="str">
        <f>IF(Table2[[#This Row],[Counter Number]]="","",Table2[[#This Row],[Annual Miles Traveled:]]*IF(Table2[[#This Row],[New Engine Fuel Type:]]="ULSD",VLOOKUP(Table2[[#This Row],[New Engine Model Year:]],EFTable[],6,FALSE),VLOOKUP(Table2[[#This Row],[New Engine Fuel Type:]],EFTable[],6,FALSE)))</f>
        <v/>
      </c>
      <c r="BU193" s="190" t="str">
        <f>IF(Table2[[#This Row],[Counter Number]]="","",Table2[[#This Row],[Old Bus CO Emissions (tons/yr)]]-Table2[[#This Row],[New Bus CO Emissions (tons/yr)]])</f>
        <v/>
      </c>
      <c r="BV193" s="188" t="str">
        <f>IF(Table2[[#This Row],[Counter Number]]="","",Table2[[#This Row],[Reduction Bus CO Emissions (tons/yr)]]/Table2[[#This Row],[Old Bus CO Emissions (tons/yr)]])</f>
        <v/>
      </c>
      <c r="BW193" s="193" t="str">
        <f>IF(Table2[[#This Row],[Counter Number]]="","",Table2[[#This Row],[Reduction Bus CO Emissions (tons/yr)]]*Table2[[#This Row],[Remaining Life:]])</f>
        <v/>
      </c>
      <c r="BX193" s="194" t="str">
        <f>IF(Table2[[#This Row],[Counter Number]]="","",IF(Table2[[#This Row],[Lifetime CO Reduction (tons)]]=0,"NA",Table2[[#This Row],[Upgrade Cost Per Unit]]/Table2[[#This Row],[Lifetime CO Reduction (tons)]]))</f>
        <v/>
      </c>
      <c r="BY193" s="180" t="str">
        <f>IF(Table2[[#This Row],[Counter Number]]="","",Table2[[#This Row],[Old ULSD Used (gal):]]*VLOOKUP(Table2[[#This Row],[Engine Model Year:]],EF!$A$2:$G$27,7,FALSE))</f>
        <v/>
      </c>
      <c r="BZ19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3" s="195" t="str">
        <f>IF(Table2[[#This Row],[Counter Number]]="","",Table2[[#This Row],[Old Bus CO2 Emissions (tons/yr)]]-Table2[[#This Row],[New Bus CO2 Emissions (tons/yr)]])</f>
        <v/>
      </c>
      <c r="CB193" s="188" t="str">
        <f>IF(Table2[[#This Row],[Counter Number]]="","",Table2[[#This Row],[Reduction Bus CO2 Emissions (tons/yr)]]/Table2[[#This Row],[Old Bus CO2 Emissions (tons/yr)]])</f>
        <v/>
      </c>
      <c r="CC193" s="195" t="str">
        <f>IF(Table2[[#This Row],[Counter Number]]="","",Table2[[#This Row],[Reduction Bus CO2 Emissions (tons/yr)]]*Table2[[#This Row],[Remaining Life:]])</f>
        <v/>
      </c>
      <c r="CD193" s="194" t="str">
        <f>IF(Table2[[#This Row],[Counter Number]]="","",IF(Table2[[#This Row],[Lifetime CO2 Reduction (tons)]]=0,"NA",Table2[[#This Row],[Upgrade Cost Per Unit]]/Table2[[#This Row],[Lifetime CO2 Reduction (tons)]]))</f>
        <v/>
      </c>
      <c r="CE193" s="182" t="str">
        <f>IF(Table2[[#This Row],[Counter Number]]="","",IF(Table2[[#This Row],[New ULSD Used (gal):]]="",Table2[[#This Row],[Old ULSD Used (gal):]],Table2[[#This Row],[Old ULSD Used (gal):]]-Table2[[#This Row],[New ULSD Used (gal):]]))</f>
        <v/>
      </c>
      <c r="CF193" s="196" t="str">
        <f>IF(Table2[[#This Row],[Counter Number]]="","",Table2[[#This Row],[Diesel Fuel Reduction (gal/yr)]]/Table2[[#This Row],[Old ULSD Used (gal):]])</f>
        <v/>
      </c>
      <c r="CG193" s="197" t="str">
        <f>IF(Table2[[#This Row],[Counter Number]]="","",Table2[[#This Row],[Diesel Fuel Reduction (gal/yr)]]*Table2[[#This Row],[Remaining Life:]])</f>
        <v/>
      </c>
    </row>
    <row r="194" spans="1:85">
      <c r="A194" s="184" t="str">
        <f>IF(A169&lt;Application!$D$24,A169+1,"")</f>
        <v/>
      </c>
      <c r="B194" s="60" t="str">
        <f>IF(Table2[[#This Row],[Counter Number]]="","",Application!$D$16)</f>
        <v/>
      </c>
      <c r="C194" s="60" t="str">
        <f>IF(Table2[[#This Row],[Counter Number]]="","",Application!$D$14)</f>
        <v/>
      </c>
      <c r="D194" s="60" t="str">
        <f>IF(Table2[[#This Row],[Counter Number]]="","",Table1[[#This Row],[Old Bus Number]])</f>
        <v/>
      </c>
      <c r="E194" s="60" t="str">
        <f>IF(Table2[[#This Row],[Counter Number]]="","",Application!$D$15)</f>
        <v/>
      </c>
      <c r="F194" s="60" t="str">
        <f>IF(Table2[[#This Row],[Counter Number]]="","","On Highway")</f>
        <v/>
      </c>
      <c r="G194" s="60" t="str">
        <f>IF(Table2[[#This Row],[Counter Number]]="","",I194)</f>
        <v/>
      </c>
      <c r="H194" s="60" t="str">
        <f>IF(Table2[[#This Row],[Counter Number]]="","","Georgia")</f>
        <v/>
      </c>
      <c r="I194" s="60" t="str">
        <f>IF(Table2[[#This Row],[Counter Number]]="","",Application!$D$16)</f>
        <v/>
      </c>
      <c r="J194" s="60" t="str">
        <f>IF(Table2[[#This Row],[Counter Number]]="","",Application!$D$21)</f>
        <v/>
      </c>
      <c r="K194" s="60" t="str">
        <f>IF(Table2[[#This Row],[Counter Number]]="","",Application!$J$21)</f>
        <v/>
      </c>
      <c r="L194" s="60" t="str">
        <f>IF(Table2[[#This Row],[Counter Number]]="","","School Bus")</f>
        <v/>
      </c>
      <c r="M194" s="60" t="str">
        <f>IF(Table2[[#This Row],[Counter Number]]="","","School Bus")</f>
        <v/>
      </c>
      <c r="N194" s="60" t="str">
        <f>IF(Table2[[#This Row],[Counter Number]]="","",1)</f>
        <v/>
      </c>
      <c r="O194" s="60" t="str">
        <f>IF(Table2[[#This Row],[Counter Number]]="","",Table1[[#This Row],[Vehicle Identification Number(s):]])</f>
        <v/>
      </c>
      <c r="P194" s="60" t="str">
        <f>IF(Table2[[#This Row],[Counter Number]]="","",Table1[[#This Row],[Old Bus Manufacturer:]])</f>
        <v/>
      </c>
      <c r="Q194" s="60" t="str">
        <f>IF(Table2[[#This Row],[Counter Number]]="","",Table1[[#This Row],[Vehicle Model:]])</f>
        <v/>
      </c>
      <c r="R194" s="165" t="str">
        <f>IF(Table2[[#This Row],[Counter Number]]="","",Table1[[#This Row],[Vehicle Model Year:]])</f>
        <v/>
      </c>
      <c r="S194" s="60" t="str">
        <f>IF(Table2[[#This Row],[Counter Number]]="","",Table1[[#This Row],[Engine Serial Number(s):]])</f>
        <v/>
      </c>
      <c r="T194" s="60" t="str">
        <f>IF(Table2[[#This Row],[Counter Number]]="","",Table1[[#This Row],[Engine Make:]])</f>
        <v/>
      </c>
      <c r="U194" s="60" t="str">
        <f>IF(Table2[[#This Row],[Counter Number]]="","",Table1[[#This Row],[Engine Model:]])</f>
        <v/>
      </c>
      <c r="V194" s="165" t="str">
        <f>IF(Table2[[#This Row],[Counter Number]]="","",Table1[[#This Row],[Engine Model Year:]])</f>
        <v/>
      </c>
      <c r="W194" s="60" t="str">
        <f>IF(Table2[[#This Row],[Counter Number]]="","","NA")</f>
        <v/>
      </c>
      <c r="X194" s="165" t="str">
        <f>IF(Table2[[#This Row],[Counter Number]]="","",Table1[[#This Row],[Engine Horsepower (HP):]])</f>
        <v/>
      </c>
      <c r="Y194" s="165" t="str">
        <f>IF(Table2[[#This Row],[Counter Number]]="","",Table1[[#This Row],[Engine Cylinder Displacement (L):]]&amp;" L")</f>
        <v/>
      </c>
      <c r="Z194" s="165" t="str">
        <f>IF(Table2[[#This Row],[Counter Number]]="","",Table1[[#This Row],[Engine Number of Cylinders:]])</f>
        <v/>
      </c>
      <c r="AA194" s="166" t="str">
        <f>IF(Table2[[#This Row],[Counter Number]]="","",Table1[[#This Row],[Engine Family Name:]])</f>
        <v/>
      </c>
      <c r="AB194" s="60" t="str">
        <f>IF(Table2[[#This Row],[Counter Number]]="","","ULSD")</f>
        <v/>
      </c>
      <c r="AC194" s="167" t="str">
        <f>IF(Table2[[#This Row],[Counter Number]]="","",Table2[[#This Row],[Annual Miles Traveled:]]/Table1[[#This Row],[Old Fuel (mpg)]])</f>
        <v/>
      </c>
      <c r="AD194" s="60" t="str">
        <f>IF(Table2[[#This Row],[Counter Number]]="","","NA")</f>
        <v/>
      </c>
      <c r="AE194" s="168" t="str">
        <f>IF(Table2[[#This Row],[Counter Number]]="","",Table1[[#This Row],[Annual Miles Traveled]])</f>
        <v/>
      </c>
      <c r="AF194" s="169" t="str">
        <f>IF(Table2[[#This Row],[Counter Number]]="","",Table1[[#This Row],[Annual Idling Hours:]])</f>
        <v/>
      </c>
      <c r="AG194" s="60" t="str">
        <f>IF(Table2[[#This Row],[Counter Number]]="","","NA")</f>
        <v/>
      </c>
      <c r="AH194" s="165" t="str">
        <f>IF(Table2[[#This Row],[Counter Number]]="","",IF(Application!$J$25="Set Policy",Table1[[#This Row],[Remaining Life (years)         Set Policy]],Table1[[#This Row],[Remaining Life (years)               Case-by-Case]]))</f>
        <v/>
      </c>
      <c r="AI194" s="165" t="str">
        <f>IF(Table2[[#This Row],[Counter Number]]="","",IF(Application!$J$25="Case-by-Case","NA",Table2[[#This Row],[Fiscal Year of EPA Funds Used:]]+Table2[[#This Row],[Remaining Life:]]))</f>
        <v/>
      </c>
      <c r="AJ194" s="165"/>
      <c r="AK194" s="170" t="str">
        <f>IF(Table2[[#This Row],[Counter Number]]="","",Application!$D$14+1)</f>
        <v/>
      </c>
      <c r="AL194" s="60" t="str">
        <f>IF(Table2[[#This Row],[Counter Number]]="","","Vehicle Replacement")</f>
        <v/>
      </c>
      <c r="AM19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4" s="171" t="str">
        <f>IF(Table2[[#This Row],[Counter Number]]="","",Table1[[#This Row],[Cost of New Bus:]])</f>
        <v/>
      </c>
      <c r="AO194" s="60" t="str">
        <f>IF(Table2[[#This Row],[Counter Number]]="","","NA")</f>
        <v/>
      </c>
      <c r="AP194" s="165" t="str">
        <f>IF(Table2[[#This Row],[Counter Number]]="","",Table1[[#This Row],[New Engine Model Year:]])</f>
        <v/>
      </c>
      <c r="AQ194" s="60" t="str">
        <f>IF(Table2[[#This Row],[Counter Number]]="","","NA")</f>
        <v/>
      </c>
      <c r="AR194" s="165" t="str">
        <f>IF(Table2[[#This Row],[Counter Number]]="","",Table1[[#This Row],[New Engine Horsepower (HP):]])</f>
        <v/>
      </c>
      <c r="AS194" s="60" t="str">
        <f>IF(Table2[[#This Row],[Counter Number]]="","","NA")</f>
        <v/>
      </c>
      <c r="AT194" s="165" t="str">
        <f>IF(Table2[[#This Row],[Counter Number]]="","",Table1[[#This Row],[New Engine Cylinder Displacement (L):]]&amp;" L")</f>
        <v/>
      </c>
      <c r="AU194" s="114" t="str">
        <f>IF(Table2[[#This Row],[Counter Number]]="","",Table1[[#This Row],[New Engine Number of Cylinders:]])</f>
        <v/>
      </c>
      <c r="AV194" s="60" t="str">
        <f>IF(Table2[[#This Row],[Counter Number]]="","",Table1[[#This Row],[New Engine Family Name:]])</f>
        <v/>
      </c>
      <c r="AW19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4" s="60" t="str">
        <f>IF(Table2[[#This Row],[Counter Number]]="","","NA")</f>
        <v/>
      </c>
      <c r="AY194" s="172" t="str">
        <f>IF(Table2[[#This Row],[Counter Number]]="","",IF(Table2[[#This Row],[New Engine Fuel Type:]]="ULSD",Table1[[#This Row],[Annual Miles Traveled]]/Table1[[#This Row],[New Fuel (mpg) if Diesel]],""))</f>
        <v/>
      </c>
      <c r="AZ194" s="60"/>
      <c r="BA194" s="173" t="str">
        <f>IF(Table2[[#This Row],[Counter Number]]="","",Table2[[#This Row],[Annual Miles Traveled:]]*VLOOKUP(Table2[[#This Row],[Engine Model Year:]],EFTable[],3,FALSE))</f>
        <v/>
      </c>
      <c r="BB194" s="173" t="str">
        <f>IF(Table2[[#This Row],[Counter Number]]="","",Table2[[#This Row],[Annual Miles Traveled:]]*IF(Table2[[#This Row],[New Engine Fuel Type:]]="ULSD",VLOOKUP(Table2[[#This Row],[New Engine Model Year:]],EFTable[],3,FALSE),VLOOKUP(Table2[[#This Row],[New Engine Fuel Type:]],EFTable[],3,FALSE)))</f>
        <v/>
      </c>
      <c r="BC194" s="187" t="str">
        <f>IF(Table2[[#This Row],[Counter Number]]="","",Table2[[#This Row],[Old Bus NOx Emissions (tons/yr)]]-Table2[[#This Row],[New Bus NOx Emissions (tons/yr)]])</f>
        <v/>
      </c>
      <c r="BD194" s="188" t="str">
        <f>IF(Table2[[#This Row],[Counter Number]]="","",Table2[[#This Row],[Reduction Bus NOx Emissions (tons/yr)]]/Table2[[#This Row],[Old Bus NOx Emissions (tons/yr)]])</f>
        <v/>
      </c>
      <c r="BE194" s="175" t="str">
        <f>IF(Table2[[#This Row],[Counter Number]]="","",Table2[[#This Row],[Reduction Bus NOx Emissions (tons/yr)]]*Table2[[#This Row],[Remaining Life:]])</f>
        <v/>
      </c>
      <c r="BF194" s="189" t="str">
        <f>IF(Table2[[#This Row],[Counter Number]]="","",IF(Table2[[#This Row],[Lifetime NOx Reduction (tons)]]=0,"NA",Table2[[#This Row],[Upgrade Cost Per Unit]]/Table2[[#This Row],[Lifetime NOx Reduction (tons)]]))</f>
        <v/>
      </c>
      <c r="BG194" s="190" t="str">
        <f>IF(Table2[[#This Row],[Counter Number]]="","",Table2[[#This Row],[Annual Miles Traveled:]]*VLOOKUP(Table2[[#This Row],[Engine Model Year:]],EF!$A$2:$G$27,4,FALSE))</f>
        <v/>
      </c>
      <c r="BH194" s="173" t="str">
        <f>IF(Table2[[#This Row],[Counter Number]]="","",Table2[[#This Row],[Annual Miles Traveled:]]*IF(Table2[[#This Row],[New Engine Fuel Type:]]="ULSD",VLOOKUP(Table2[[#This Row],[New Engine Model Year:]],EFTable[],4,FALSE),VLOOKUP(Table2[[#This Row],[New Engine Fuel Type:]],EFTable[],4,FALSE)))</f>
        <v/>
      </c>
      <c r="BI194" s="191" t="str">
        <f>IF(Table2[[#This Row],[Counter Number]]="","",Table2[[#This Row],[Old Bus PM2.5 Emissions (tons/yr)]]-Table2[[#This Row],[New Bus PM2.5 Emissions (tons/yr)]])</f>
        <v/>
      </c>
      <c r="BJ194" s="192" t="str">
        <f>IF(Table2[[#This Row],[Counter Number]]="","",Table2[[#This Row],[Reduction Bus PM2.5 Emissions (tons/yr)]]/Table2[[#This Row],[Old Bus PM2.5 Emissions (tons/yr)]])</f>
        <v/>
      </c>
      <c r="BK194" s="193" t="str">
        <f>IF(Table2[[#This Row],[Counter Number]]="","",Table2[[#This Row],[Reduction Bus PM2.5 Emissions (tons/yr)]]*Table2[[#This Row],[Remaining Life:]])</f>
        <v/>
      </c>
      <c r="BL194" s="194" t="str">
        <f>IF(Table2[[#This Row],[Counter Number]]="","",IF(Table2[[#This Row],[Lifetime PM2.5 Reduction (tons)]]=0,"NA",Table2[[#This Row],[Upgrade Cost Per Unit]]/Table2[[#This Row],[Lifetime PM2.5 Reduction (tons)]]))</f>
        <v/>
      </c>
      <c r="BM194" s="179" t="str">
        <f>IF(Table2[[#This Row],[Counter Number]]="","",Table2[[#This Row],[Annual Miles Traveled:]]*VLOOKUP(Table2[[#This Row],[Engine Model Year:]],EF!$A$2:$G$40,5,FALSE))</f>
        <v/>
      </c>
      <c r="BN194" s="173" t="str">
        <f>IF(Table2[[#This Row],[Counter Number]]="","",Table2[[#This Row],[Annual Miles Traveled:]]*IF(Table2[[#This Row],[New Engine Fuel Type:]]="ULSD",VLOOKUP(Table2[[#This Row],[New Engine Model Year:]],EFTable[],5,FALSE),VLOOKUP(Table2[[#This Row],[New Engine Fuel Type:]],EFTable[],5,FALSE)))</f>
        <v/>
      </c>
      <c r="BO194" s="190" t="str">
        <f>IF(Table2[[#This Row],[Counter Number]]="","",Table2[[#This Row],[Old Bus HC Emissions (tons/yr)]]-Table2[[#This Row],[New Bus HC Emissions (tons/yr)]])</f>
        <v/>
      </c>
      <c r="BP194" s="188" t="str">
        <f>IF(Table2[[#This Row],[Counter Number]]="","",Table2[[#This Row],[Reduction Bus HC Emissions (tons/yr)]]/Table2[[#This Row],[Old Bus HC Emissions (tons/yr)]])</f>
        <v/>
      </c>
      <c r="BQ194" s="193" t="str">
        <f>IF(Table2[[#This Row],[Counter Number]]="","",Table2[[#This Row],[Reduction Bus HC Emissions (tons/yr)]]*Table2[[#This Row],[Remaining Life:]])</f>
        <v/>
      </c>
      <c r="BR194" s="194" t="str">
        <f>IF(Table2[[#This Row],[Counter Number]]="","",IF(Table2[[#This Row],[Lifetime HC Reduction (tons)]]=0,"NA",Table2[[#This Row],[Upgrade Cost Per Unit]]/Table2[[#This Row],[Lifetime HC Reduction (tons)]]))</f>
        <v/>
      </c>
      <c r="BS194" s="191" t="str">
        <f>IF(Table2[[#This Row],[Counter Number]]="","",Table2[[#This Row],[Annual Miles Traveled:]]*VLOOKUP(Table2[[#This Row],[Engine Model Year:]],EF!$A$2:$G$27,6,FALSE))</f>
        <v/>
      </c>
      <c r="BT194" s="173" t="str">
        <f>IF(Table2[[#This Row],[Counter Number]]="","",Table2[[#This Row],[Annual Miles Traveled:]]*IF(Table2[[#This Row],[New Engine Fuel Type:]]="ULSD",VLOOKUP(Table2[[#This Row],[New Engine Model Year:]],EFTable[],6,FALSE),VLOOKUP(Table2[[#This Row],[New Engine Fuel Type:]],EFTable[],6,FALSE)))</f>
        <v/>
      </c>
      <c r="BU194" s="190" t="str">
        <f>IF(Table2[[#This Row],[Counter Number]]="","",Table2[[#This Row],[Old Bus CO Emissions (tons/yr)]]-Table2[[#This Row],[New Bus CO Emissions (tons/yr)]])</f>
        <v/>
      </c>
      <c r="BV194" s="188" t="str">
        <f>IF(Table2[[#This Row],[Counter Number]]="","",Table2[[#This Row],[Reduction Bus CO Emissions (tons/yr)]]/Table2[[#This Row],[Old Bus CO Emissions (tons/yr)]])</f>
        <v/>
      </c>
      <c r="BW194" s="193" t="str">
        <f>IF(Table2[[#This Row],[Counter Number]]="","",Table2[[#This Row],[Reduction Bus CO Emissions (tons/yr)]]*Table2[[#This Row],[Remaining Life:]])</f>
        <v/>
      </c>
      <c r="BX194" s="194" t="str">
        <f>IF(Table2[[#This Row],[Counter Number]]="","",IF(Table2[[#This Row],[Lifetime CO Reduction (tons)]]=0,"NA",Table2[[#This Row],[Upgrade Cost Per Unit]]/Table2[[#This Row],[Lifetime CO Reduction (tons)]]))</f>
        <v/>
      </c>
      <c r="BY194" s="180" t="str">
        <f>IF(Table2[[#This Row],[Counter Number]]="","",Table2[[#This Row],[Old ULSD Used (gal):]]*VLOOKUP(Table2[[#This Row],[Engine Model Year:]],EF!$A$2:$G$27,7,FALSE))</f>
        <v/>
      </c>
      <c r="BZ19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4" s="195" t="str">
        <f>IF(Table2[[#This Row],[Counter Number]]="","",Table2[[#This Row],[Old Bus CO2 Emissions (tons/yr)]]-Table2[[#This Row],[New Bus CO2 Emissions (tons/yr)]])</f>
        <v/>
      </c>
      <c r="CB194" s="188" t="str">
        <f>IF(Table2[[#This Row],[Counter Number]]="","",Table2[[#This Row],[Reduction Bus CO2 Emissions (tons/yr)]]/Table2[[#This Row],[Old Bus CO2 Emissions (tons/yr)]])</f>
        <v/>
      </c>
      <c r="CC194" s="195" t="str">
        <f>IF(Table2[[#This Row],[Counter Number]]="","",Table2[[#This Row],[Reduction Bus CO2 Emissions (tons/yr)]]*Table2[[#This Row],[Remaining Life:]])</f>
        <v/>
      </c>
      <c r="CD194" s="194" t="str">
        <f>IF(Table2[[#This Row],[Counter Number]]="","",IF(Table2[[#This Row],[Lifetime CO2 Reduction (tons)]]=0,"NA",Table2[[#This Row],[Upgrade Cost Per Unit]]/Table2[[#This Row],[Lifetime CO2 Reduction (tons)]]))</f>
        <v/>
      </c>
      <c r="CE194" s="182" t="str">
        <f>IF(Table2[[#This Row],[Counter Number]]="","",IF(Table2[[#This Row],[New ULSD Used (gal):]]="",Table2[[#This Row],[Old ULSD Used (gal):]],Table2[[#This Row],[Old ULSD Used (gal):]]-Table2[[#This Row],[New ULSD Used (gal):]]))</f>
        <v/>
      </c>
      <c r="CF194" s="196" t="str">
        <f>IF(Table2[[#This Row],[Counter Number]]="","",Table2[[#This Row],[Diesel Fuel Reduction (gal/yr)]]/Table2[[#This Row],[Old ULSD Used (gal):]])</f>
        <v/>
      </c>
      <c r="CG194" s="197" t="str">
        <f>IF(Table2[[#This Row],[Counter Number]]="","",Table2[[#This Row],[Diesel Fuel Reduction (gal/yr)]]*Table2[[#This Row],[Remaining Life:]])</f>
        <v/>
      </c>
    </row>
    <row r="195" spans="1:85">
      <c r="A195" s="184" t="str">
        <f>IF(A170&lt;Application!$D$24,A170+1,"")</f>
        <v/>
      </c>
      <c r="B195" s="60" t="str">
        <f>IF(Table2[[#This Row],[Counter Number]]="","",Application!$D$16)</f>
        <v/>
      </c>
      <c r="C195" s="60" t="str">
        <f>IF(Table2[[#This Row],[Counter Number]]="","",Application!$D$14)</f>
        <v/>
      </c>
      <c r="D195" s="60" t="str">
        <f>IF(Table2[[#This Row],[Counter Number]]="","",Table1[[#This Row],[Old Bus Number]])</f>
        <v/>
      </c>
      <c r="E195" s="60" t="str">
        <f>IF(Table2[[#This Row],[Counter Number]]="","",Application!$D$15)</f>
        <v/>
      </c>
      <c r="F195" s="60" t="str">
        <f>IF(Table2[[#This Row],[Counter Number]]="","","On Highway")</f>
        <v/>
      </c>
      <c r="G195" s="60" t="str">
        <f>IF(Table2[[#This Row],[Counter Number]]="","",I195)</f>
        <v/>
      </c>
      <c r="H195" s="60" t="str">
        <f>IF(Table2[[#This Row],[Counter Number]]="","","Georgia")</f>
        <v/>
      </c>
      <c r="I195" s="60" t="str">
        <f>IF(Table2[[#This Row],[Counter Number]]="","",Application!$D$16)</f>
        <v/>
      </c>
      <c r="J195" s="60" t="str">
        <f>IF(Table2[[#This Row],[Counter Number]]="","",Application!$D$21)</f>
        <v/>
      </c>
      <c r="K195" s="60" t="str">
        <f>IF(Table2[[#This Row],[Counter Number]]="","",Application!$J$21)</f>
        <v/>
      </c>
      <c r="L195" s="60" t="str">
        <f>IF(Table2[[#This Row],[Counter Number]]="","","School Bus")</f>
        <v/>
      </c>
      <c r="M195" s="60" t="str">
        <f>IF(Table2[[#This Row],[Counter Number]]="","","School Bus")</f>
        <v/>
      </c>
      <c r="N195" s="60" t="str">
        <f>IF(Table2[[#This Row],[Counter Number]]="","",1)</f>
        <v/>
      </c>
      <c r="O195" s="60" t="str">
        <f>IF(Table2[[#This Row],[Counter Number]]="","",Table1[[#This Row],[Vehicle Identification Number(s):]])</f>
        <v/>
      </c>
      <c r="P195" s="60" t="str">
        <f>IF(Table2[[#This Row],[Counter Number]]="","",Table1[[#This Row],[Old Bus Manufacturer:]])</f>
        <v/>
      </c>
      <c r="Q195" s="60" t="str">
        <f>IF(Table2[[#This Row],[Counter Number]]="","",Table1[[#This Row],[Vehicle Model:]])</f>
        <v/>
      </c>
      <c r="R195" s="165" t="str">
        <f>IF(Table2[[#This Row],[Counter Number]]="","",Table1[[#This Row],[Vehicle Model Year:]])</f>
        <v/>
      </c>
      <c r="S195" s="60" t="str">
        <f>IF(Table2[[#This Row],[Counter Number]]="","",Table1[[#This Row],[Engine Serial Number(s):]])</f>
        <v/>
      </c>
      <c r="T195" s="60" t="str">
        <f>IF(Table2[[#This Row],[Counter Number]]="","",Table1[[#This Row],[Engine Make:]])</f>
        <v/>
      </c>
      <c r="U195" s="60" t="str">
        <f>IF(Table2[[#This Row],[Counter Number]]="","",Table1[[#This Row],[Engine Model:]])</f>
        <v/>
      </c>
      <c r="V195" s="165" t="str">
        <f>IF(Table2[[#This Row],[Counter Number]]="","",Table1[[#This Row],[Engine Model Year:]])</f>
        <v/>
      </c>
      <c r="W195" s="60" t="str">
        <f>IF(Table2[[#This Row],[Counter Number]]="","","NA")</f>
        <v/>
      </c>
      <c r="X195" s="165" t="str">
        <f>IF(Table2[[#This Row],[Counter Number]]="","",Table1[[#This Row],[Engine Horsepower (HP):]])</f>
        <v/>
      </c>
      <c r="Y195" s="165" t="str">
        <f>IF(Table2[[#This Row],[Counter Number]]="","",Table1[[#This Row],[Engine Cylinder Displacement (L):]]&amp;" L")</f>
        <v/>
      </c>
      <c r="Z195" s="165" t="str">
        <f>IF(Table2[[#This Row],[Counter Number]]="","",Table1[[#This Row],[Engine Number of Cylinders:]])</f>
        <v/>
      </c>
      <c r="AA195" s="166" t="str">
        <f>IF(Table2[[#This Row],[Counter Number]]="","",Table1[[#This Row],[Engine Family Name:]])</f>
        <v/>
      </c>
      <c r="AB195" s="60" t="str">
        <f>IF(Table2[[#This Row],[Counter Number]]="","","ULSD")</f>
        <v/>
      </c>
      <c r="AC195" s="167" t="str">
        <f>IF(Table2[[#This Row],[Counter Number]]="","",Table2[[#This Row],[Annual Miles Traveled:]]/Table1[[#This Row],[Old Fuel (mpg)]])</f>
        <v/>
      </c>
      <c r="AD195" s="60" t="str">
        <f>IF(Table2[[#This Row],[Counter Number]]="","","NA")</f>
        <v/>
      </c>
      <c r="AE195" s="168" t="str">
        <f>IF(Table2[[#This Row],[Counter Number]]="","",Table1[[#This Row],[Annual Miles Traveled]])</f>
        <v/>
      </c>
      <c r="AF195" s="169" t="str">
        <f>IF(Table2[[#This Row],[Counter Number]]="","",Table1[[#This Row],[Annual Idling Hours:]])</f>
        <v/>
      </c>
      <c r="AG195" s="60" t="str">
        <f>IF(Table2[[#This Row],[Counter Number]]="","","NA")</f>
        <v/>
      </c>
      <c r="AH195" s="165" t="str">
        <f>IF(Table2[[#This Row],[Counter Number]]="","",IF(Application!$J$25="Set Policy",Table1[[#This Row],[Remaining Life (years)         Set Policy]],Table1[[#This Row],[Remaining Life (years)               Case-by-Case]]))</f>
        <v/>
      </c>
      <c r="AI195" s="165" t="str">
        <f>IF(Table2[[#This Row],[Counter Number]]="","",IF(Application!$J$25="Case-by-Case","NA",Table2[[#This Row],[Fiscal Year of EPA Funds Used:]]+Table2[[#This Row],[Remaining Life:]]))</f>
        <v/>
      </c>
      <c r="AJ195" s="165"/>
      <c r="AK195" s="170" t="str">
        <f>IF(Table2[[#This Row],[Counter Number]]="","",Application!$D$14+1)</f>
        <v/>
      </c>
      <c r="AL195" s="60" t="str">
        <f>IF(Table2[[#This Row],[Counter Number]]="","","Vehicle Replacement")</f>
        <v/>
      </c>
      <c r="AM19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5" s="171" t="str">
        <f>IF(Table2[[#This Row],[Counter Number]]="","",Table1[[#This Row],[Cost of New Bus:]])</f>
        <v/>
      </c>
      <c r="AO195" s="60" t="str">
        <f>IF(Table2[[#This Row],[Counter Number]]="","","NA")</f>
        <v/>
      </c>
      <c r="AP195" s="165" t="str">
        <f>IF(Table2[[#This Row],[Counter Number]]="","",Table1[[#This Row],[New Engine Model Year:]])</f>
        <v/>
      </c>
      <c r="AQ195" s="60" t="str">
        <f>IF(Table2[[#This Row],[Counter Number]]="","","NA")</f>
        <v/>
      </c>
      <c r="AR195" s="165" t="str">
        <f>IF(Table2[[#This Row],[Counter Number]]="","",Table1[[#This Row],[New Engine Horsepower (HP):]])</f>
        <v/>
      </c>
      <c r="AS195" s="60" t="str">
        <f>IF(Table2[[#This Row],[Counter Number]]="","","NA")</f>
        <v/>
      </c>
      <c r="AT195" s="165" t="str">
        <f>IF(Table2[[#This Row],[Counter Number]]="","",Table1[[#This Row],[New Engine Cylinder Displacement (L):]]&amp;" L")</f>
        <v/>
      </c>
      <c r="AU195" s="114" t="str">
        <f>IF(Table2[[#This Row],[Counter Number]]="","",Table1[[#This Row],[New Engine Number of Cylinders:]])</f>
        <v/>
      </c>
      <c r="AV195" s="60" t="str">
        <f>IF(Table2[[#This Row],[Counter Number]]="","",Table1[[#This Row],[New Engine Family Name:]])</f>
        <v/>
      </c>
      <c r="AW19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5" s="60" t="str">
        <f>IF(Table2[[#This Row],[Counter Number]]="","","NA")</f>
        <v/>
      </c>
      <c r="AY195" s="172" t="str">
        <f>IF(Table2[[#This Row],[Counter Number]]="","",IF(Table2[[#This Row],[New Engine Fuel Type:]]="ULSD",Table1[[#This Row],[Annual Miles Traveled]]/Table1[[#This Row],[New Fuel (mpg) if Diesel]],""))</f>
        <v/>
      </c>
      <c r="AZ195" s="60"/>
      <c r="BA195" s="173" t="str">
        <f>IF(Table2[[#This Row],[Counter Number]]="","",Table2[[#This Row],[Annual Miles Traveled:]]*VLOOKUP(Table2[[#This Row],[Engine Model Year:]],EFTable[],3,FALSE))</f>
        <v/>
      </c>
      <c r="BB195" s="173" t="str">
        <f>IF(Table2[[#This Row],[Counter Number]]="","",Table2[[#This Row],[Annual Miles Traveled:]]*IF(Table2[[#This Row],[New Engine Fuel Type:]]="ULSD",VLOOKUP(Table2[[#This Row],[New Engine Model Year:]],EFTable[],3,FALSE),VLOOKUP(Table2[[#This Row],[New Engine Fuel Type:]],EFTable[],3,FALSE)))</f>
        <v/>
      </c>
      <c r="BC195" s="187" t="str">
        <f>IF(Table2[[#This Row],[Counter Number]]="","",Table2[[#This Row],[Old Bus NOx Emissions (tons/yr)]]-Table2[[#This Row],[New Bus NOx Emissions (tons/yr)]])</f>
        <v/>
      </c>
      <c r="BD195" s="188" t="str">
        <f>IF(Table2[[#This Row],[Counter Number]]="","",Table2[[#This Row],[Reduction Bus NOx Emissions (tons/yr)]]/Table2[[#This Row],[Old Bus NOx Emissions (tons/yr)]])</f>
        <v/>
      </c>
      <c r="BE195" s="175" t="str">
        <f>IF(Table2[[#This Row],[Counter Number]]="","",Table2[[#This Row],[Reduction Bus NOx Emissions (tons/yr)]]*Table2[[#This Row],[Remaining Life:]])</f>
        <v/>
      </c>
      <c r="BF195" s="189" t="str">
        <f>IF(Table2[[#This Row],[Counter Number]]="","",IF(Table2[[#This Row],[Lifetime NOx Reduction (tons)]]=0,"NA",Table2[[#This Row],[Upgrade Cost Per Unit]]/Table2[[#This Row],[Lifetime NOx Reduction (tons)]]))</f>
        <v/>
      </c>
      <c r="BG195" s="190" t="str">
        <f>IF(Table2[[#This Row],[Counter Number]]="","",Table2[[#This Row],[Annual Miles Traveled:]]*VLOOKUP(Table2[[#This Row],[Engine Model Year:]],EF!$A$2:$G$27,4,FALSE))</f>
        <v/>
      </c>
      <c r="BH195" s="173" t="str">
        <f>IF(Table2[[#This Row],[Counter Number]]="","",Table2[[#This Row],[Annual Miles Traveled:]]*IF(Table2[[#This Row],[New Engine Fuel Type:]]="ULSD",VLOOKUP(Table2[[#This Row],[New Engine Model Year:]],EFTable[],4,FALSE),VLOOKUP(Table2[[#This Row],[New Engine Fuel Type:]],EFTable[],4,FALSE)))</f>
        <v/>
      </c>
      <c r="BI195" s="191" t="str">
        <f>IF(Table2[[#This Row],[Counter Number]]="","",Table2[[#This Row],[Old Bus PM2.5 Emissions (tons/yr)]]-Table2[[#This Row],[New Bus PM2.5 Emissions (tons/yr)]])</f>
        <v/>
      </c>
      <c r="BJ195" s="192" t="str">
        <f>IF(Table2[[#This Row],[Counter Number]]="","",Table2[[#This Row],[Reduction Bus PM2.5 Emissions (tons/yr)]]/Table2[[#This Row],[Old Bus PM2.5 Emissions (tons/yr)]])</f>
        <v/>
      </c>
      <c r="BK195" s="193" t="str">
        <f>IF(Table2[[#This Row],[Counter Number]]="","",Table2[[#This Row],[Reduction Bus PM2.5 Emissions (tons/yr)]]*Table2[[#This Row],[Remaining Life:]])</f>
        <v/>
      </c>
      <c r="BL195" s="194" t="str">
        <f>IF(Table2[[#This Row],[Counter Number]]="","",IF(Table2[[#This Row],[Lifetime PM2.5 Reduction (tons)]]=0,"NA",Table2[[#This Row],[Upgrade Cost Per Unit]]/Table2[[#This Row],[Lifetime PM2.5 Reduction (tons)]]))</f>
        <v/>
      </c>
      <c r="BM195" s="179" t="str">
        <f>IF(Table2[[#This Row],[Counter Number]]="","",Table2[[#This Row],[Annual Miles Traveled:]]*VLOOKUP(Table2[[#This Row],[Engine Model Year:]],EF!$A$2:$G$40,5,FALSE))</f>
        <v/>
      </c>
      <c r="BN195" s="173" t="str">
        <f>IF(Table2[[#This Row],[Counter Number]]="","",Table2[[#This Row],[Annual Miles Traveled:]]*IF(Table2[[#This Row],[New Engine Fuel Type:]]="ULSD",VLOOKUP(Table2[[#This Row],[New Engine Model Year:]],EFTable[],5,FALSE),VLOOKUP(Table2[[#This Row],[New Engine Fuel Type:]],EFTable[],5,FALSE)))</f>
        <v/>
      </c>
      <c r="BO195" s="190" t="str">
        <f>IF(Table2[[#This Row],[Counter Number]]="","",Table2[[#This Row],[Old Bus HC Emissions (tons/yr)]]-Table2[[#This Row],[New Bus HC Emissions (tons/yr)]])</f>
        <v/>
      </c>
      <c r="BP195" s="188" t="str">
        <f>IF(Table2[[#This Row],[Counter Number]]="","",Table2[[#This Row],[Reduction Bus HC Emissions (tons/yr)]]/Table2[[#This Row],[Old Bus HC Emissions (tons/yr)]])</f>
        <v/>
      </c>
      <c r="BQ195" s="193" t="str">
        <f>IF(Table2[[#This Row],[Counter Number]]="","",Table2[[#This Row],[Reduction Bus HC Emissions (tons/yr)]]*Table2[[#This Row],[Remaining Life:]])</f>
        <v/>
      </c>
      <c r="BR195" s="194" t="str">
        <f>IF(Table2[[#This Row],[Counter Number]]="","",IF(Table2[[#This Row],[Lifetime HC Reduction (tons)]]=0,"NA",Table2[[#This Row],[Upgrade Cost Per Unit]]/Table2[[#This Row],[Lifetime HC Reduction (tons)]]))</f>
        <v/>
      </c>
      <c r="BS195" s="191" t="str">
        <f>IF(Table2[[#This Row],[Counter Number]]="","",Table2[[#This Row],[Annual Miles Traveled:]]*VLOOKUP(Table2[[#This Row],[Engine Model Year:]],EF!$A$2:$G$27,6,FALSE))</f>
        <v/>
      </c>
      <c r="BT195" s="173" t="str">
        <f>IF(Table2[[#This Row],[Counter Number]]="","",Table2[[#This Row],[Annual Miles Traveled:]]*IF(Table2[[#This Row],[New Engine Fuel Type:]]="ULSD",VLOOKUP(Table2[[#This Row],[New Engine Model Year:]],EFTable[],6,FALSE),VLOOKUP(Table2[[#This Row],[New Engine Fuel Type:]],EFTable[],6,FALSE)))</f>
        <v/>
      </c>
      <c r="BU195" s="190" t="str">
        <f>IF(Table2[[#This Row],[Counter Number]]="","",Table2[[#This Row],[Old Bus CO Emissions (tons/yr)]]-Table2[[#This Row],[New Bus CO Emissions (tons/yr)]])</f>
        <v/>
      </c>
      <c r="BV195" s="188" t="str">
        <f>IF(Table2[[#This Row],[Counter Number]]="","",Table2[[#This Row],[Reduction Bus CO Emissions (tons/yr)]]/Table2[[#This Row],[Old Bus CO Emissions (tons/yr)]])</f>
        <v/>
      </c>
      <c r="BW195" s="193" t="str">
        <f>IF(Table2[[#This Row],[Counter Number]]="","",Table2[[#This Row],[Reduction Bus CO Emissions (tons/yr)]]*Table2[[#This Row],[Remaining Life:]])</f>
        <v/>
      </c>
      <c r="BX195" s="194" t="str">
        <f>IF(Table2[[#This Row],[Counter Number]]="","",IF(Table2[[#This Row],[Lifetime CO Reduction (tons)]]=0,"NA",Table2[[#This Row],[Upgrade Cost Per Unit]]/Table2[[#This Row],[Lifetime CO Reduction (tons)]]))</f>
        <v/>
      </c>
      <c r="BY195" s="180" t="str">
        <f>IF(Table2[[#This Row],[Counter Number]]="","",Table2[[#This Row],[Old ULSD Used (gal):]]*VLOOKUP(Table2[[#This Row],[Engine Model Year:]],EF!$A$2:$G$27,7,FALSE))</f>
        <v/>
      </c>
      <c r="BZ19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5" s="195" t="str">
        <f>IF(Table2[[#This Row],[Counter Number]]="","",Table2[[#This Row],[Old Bus CO2 Emissions (tons/yr)]]-Table2[[#This Row],[New Bus CO2 Emissions (tons/yr)]])</f>
        <v/>
      </c>
      <c r="CB195" s="188" t="str">
        <f>IF(Table2[[#This Row],[Counter Number]]="","",Table2[[#This Row],[Reduction Bus CO2 Emissions (tons/yr)]]/Table2[[#This Row],[Old Bus CO2 Emissions (tons/yr)]])</f>
        <v/>
      </c>
      <c r="CC195" s="195" t="str">
        <f>IF(Table2[[#This Row],[Counter Number]]="","",Table2[[#This Row],[Reduction Bus CO2 Emissions (tons/yr)]]*Table2[[#This Row],[Remaining Life:]])</f>
        <v/>
      </c>
      <c r="CD195" s="194" t="str">
        <f>IF(Table2[[#This Row],[Counter Number]]="","",IF(Table2[[#This Row],[Lifetime CO2 Reduction (tons)]]=0,"NA",Table2[[#This Row],[Upgrade Cost Per Unit]]/Table2[[#This Row],[Lifetime CO2 Reduction (tons)]]))</f>
        <v/>
      </c>
      <c r="CE195" s="182" t="str">
        <f>IF(Table2[[#This Row],[Counter Number]]="","",IF(Table2[[#This Row],[New ULSD Used (gal):]]="",Table2[[#This Row],[Old ULSD Used (gal):]],Table2[[#This Row],[Old ULSD Used (gal):]]-Table2[[#This Row],[New ULSD Used (gal):]]))</f>
        <v/>
      </c>
      <c r="CF195" s="196" t="str">
        <f>IF(Table2[[#This Row],[Counter Number]]="","",Table2[[#This Row],[Diesel Fuel Reduction (gal/yr)]]/Table2[[#This Row],[Old ULSD Used (gal):]])</f>
        <v/>
      </c>
      <c r="CG195" s="197" t="str">
        <f>IF(Table2[[#This Row],[Counter Number]]="","",Table2[[#This Row],[Diesel Fuel Reduction (gal/yr)]]*Table2[[#This Row],[Remaining Life:]])</f>
        <v/>
      </c>
    </row>
    <row r="196" spans="1:85">
      <c r="A196" s="184" t="str">
        <f>IF(A171&lt;Application!$D$24,A171+1,"")</f>
        <v/>
      </c>
      <c r="B196" s="60" t="str">
        <f>IF(Table2[[#This Row],[Counter Number]]="","",Application!$D$16)</f>
        <v/>
      </c>
      <c r="C196" s="60" t="str">
        <f>IF(Table2[[#This Row],[Counter Number]]="","",Application!$D$14)</f>
        <v/>
      </c>
      <c r="D196" s="60" t="str">
        <f>IF(Table2[[#This Row],[Counter Number]]="","",Table1[[#This Row],[Old Bus Number]])</f>
        <v/>
      </c>
      <c r="E196" s="60" t="str">
        <f>IF(Table2[[#This Row],[Counter Number]]="","",Application!$D$15)</f>
        <v/>
      </c>
      <c r="F196" s="60" t="str">
        <f>IF(Table2[[#This Row],[Counter Number]]="","","On Highway")</f>
        <v/>
      </c>
      <c r="G196" s="60" t="str">
        <f>IF(Table2[[#This Row],[Counter Number]]="","",I196)</f>
        <v/>
      </c>
      <c r="H196" s="60" t="str">
        <f>IF(Table2[[#This Row],[Counter Number]]="","","Georgia")</f>
        <v/>
      </c>
      <c r="I196" s="60" t="str">
        <f>IF(Table2[[#This Row],[Counter Number]]="","",Application!$D$16)</f>
        <v/>
      </c>
      <c r="J196" s="60" t="str">
        <f>IF(Table2[[#This Row],[Counter Number]]="","",Application!$D$21)</f>
        <v/>
      </c>
      <c r="K196" s="60" t="str">
        <f>IF(Table2[[#This Row],[Counter Number]]="","",Application!$J$21)</f>
        <v/>
      </c>
      <c r="L196" s="60" t="str">
        <f>IF(Table2[[#This Row],[Counter Number]]="","","School Bus")</f>
        <v/>
      </c>
      <c r="M196" s="60" t="str">
        <f>IF(Table2[[#This Row],[Counter Number]]="","","School Bus")</f>
        <v/>
      </c>
      <c r="N196" s="60" t="str">
        <f>IF(Table2[[#This Row],[Counter Number]]="","",1)</f>
        <v/>
      </c>
      <c r="O196" s="60" t="str">
        <f>IF(Table2[[#This Row],[Counter Number]]="","",Table1[[#This Row],[Vehicle Identification Number(s):]])</f>
        <v/>
      </c>
      <c r="P196" s="60" t="str">
        <f>IF(Table2[[#This Row],[Counter Number]]="","",Table1[[#This Row],[Old Bus Manufacturer:]])</f>
        <v/>
      </c>
      <c r="Q196" s="60" t="str">
        <f>IF(Table2[[#This Row],[Counter Number]]="","",Table1[[#This Row],[Vehicle Model:]])</f>
        <v/>
      </c>
      <c r="R196" s="165" t="str">
        <f>IF(Table2[[#This Row],[Counter Number]]="","",Table1[[#This Row],[Vehicle Model Year:]])</f>
        <v/>
      </c>
      <c r="S196" s="60" t="str">
        <f>IF(Table2[[#This Row],[Counter Number]]="","",Table1[[#This Row],[Engine Serial Number(s):]])</f>
        <v/>
      </c>
      <c r="T196" s="60" t="str">
        <f>IF(Table2[[#This Row],[Counter Number]]="","",Table1[[#This Row],[Engine Make:]])</f>
        <v/>
      </c>
      <c r="U196" s="60" t="str">
        <f>IF(Table2[[#This Row],[Counter Number]]="","",Table1[[#This Row],[Engine Model:]])</f>
        <v/>
      </c>
      <c r="V196" s="165" t="str">
        <f>IF(Table2[[#This Row],[Counter Number]]="","",Table1[[#This Row],[Engine Model Year:]])</f>
        <v/>
      </c>
      <c r="W196" s="60" t="str">
        <f>IF(Table2[[#This Row],[Counter Number]]="","","NA")</f>
        <v/>
      </c>
      <c r="X196" s="165" t="str">
        <f>IF(Table2[[#This Row],[Counter Number]]="","",Table1[[#This Row],[Engine Horsepower (HP):]])</f>
        <v/>
      </c>
      <c r="Y196" s="165" t="str">
        <f>IF(Table2[[#This Row],[Counter Number]]="","",Table1[[#This Row],[Engine Cylinder Displacement (L):]]&amp;" L")</f>
        <v/>
      </c>
      <c r="Z196" s="165" t="str">
        <f>IF(Table2[[#This Row],[Counter Number]]="","",Table1[[#This Row],[Engine Number of Cylinders:]])</f>
        <v/>
      </c>
      <c r="AA196" s="166" t="str">
        <f>IF(Table2[[#This Row],[Counter Number]]="","",Table1[[#This Row],[Engine Family Name:]])</f>
        <v/>
      </c>
      <c r="AB196" s="60" t="str">
        <f>IF(Table2[[#This Row],[Counter Number]]="","","ULSD")</f>
        <v/>
      </c>
      <c r="AC196" s="167" t="str">
        <f>IF(Table2[[#This Row],[Counter Number]]="","",Table2[[#This Row],[Annual Miles Traveled:]]/Table1[[#This Row],[Old Fuel (mpg)]])</f>
        <v/>
      </c>
      <c r="AD196" s="60" t="str">
        <f>IF(Table2[[#This Row],[Counter Number]]="","","NA")</f>
        <v/>
      </c>
      <c r="AE196" s="168" t="str">
        <f>IF(Table2[[#This Row],[Counter Number]]="","",Table1[[#This Row],[Annual Miles Traveled]])</f>
        <v/>
      </c>
      <c r="AF196" s="169" t="str">
        <f>IF(Table2[[#This Row],[Counter Number]]="","",Table1[[#This Row],[Annual Idling Hours:]])</f>
        <v/>
      </c>
      <c r="AG196" s="60" t="str">
        <f>IF(Table2[[#This Row],[Counter Number]]="","","NA")</f>
        <v/>
      </c>
      <c r="AH196" s="165" t="str">
        <f>IF(Table2[[#This Row],[Counter Number]]="","",IF(Application!$J$25="Set Policy",Table1[[#This Row],[Remaining Life (years)         Set Policy]],Table1[[#This Row],[Remaining Life (years)               Case-by-Case]]))</f>
        <v/>
      </c>
      <c r="AI196" s="165" t="str">
        <f>IF(Table2[[#This Row],[Counter Number]]="","",IF(Application!$J$25="Case-by-Case","NA",Table2[[#This Row],[Fiscal Year of EPA Funds Used:]]+Table2[[#This Row],[Remaining Life:]]))</f>
        <v/>
      </c>
      <c r="AJ196" s="165"/>
      <c r="AK196" s="170" t="str">
        <f>IF(Table2[[#This Row],[Counter Number]]="","",Application!$D$14+1)</f>
        <v/>
      </c>
      <c r="AL196" s="60" t="str">
        <f>IF(Table2[[#This Row],[Counter Number]]="","","Vehicle Replacement")</f>
        <v/>
      </c>
      <c r="AM19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6" s="171" t="str">
        <f>IF(Table2[[#This Row],[Counter Number]]="","",Table1[[#This Row],[Cost of New Bus:]])</f>
        <v/>
      </c>
      <c r="AO196" s="60" t="str">
        <f>IF(Table2[[#This Row],[Counter Number]]="","","NA")</f>
        <v/>
      </c>
      <c r="AP196" s="165" t="str">
        <f>IF(Table2[[#This Row],[Counter Number]]="","",Table1[[#This Row],[New Engine Model Year:]])</f>
        <v/>
      </c>
      <c r="AQ196" s="60" t="str">
        <f>IF(Table2[[#This Row],[Counter Number]]="","","NA")</f>
        <v/>
      </c>
      <c r="AR196" s="165" t="str">
        <f>IF(Table2[[#This Row],[Counter Number]]="","",Table1[[#This Row],[New Engine Horsepower (HP):]])</f>
        <v/>
      </c>
      <c r="AS196" s="60" t="str">
        <f>IF(Table2[[#This Row],[Counter Number]]="","","NA")</f>
        <v/>
      </c>
      <c r="AT196" s="165" t="str">
        <f>IF(Table2[[#This Row],[Counter Number]]="","",Table1[[#This Row],[New Engine Cylinder Displacement (L):]]&amp;" L")</f>
        <v/>
      </c>
      <c r="AU196" s="114" t="str">
        <f>IF(Table2[[#This Row],[Counter Number]]="","",Table1[[#This Row],[New Engine Number of Cylinders:]])</f>
        <v/>
      </c>
      <c r="AV196" s="60" t="str">
        <f>IF(Table2[[#This Row],[Counter Number]]="","",Table1[[#This Row],[New Engine Family Name:]])</f>
        <v/>
      </c>
      <c r="AW19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6" s="60" t="str">
        <f>IF(Table2[[#This Row],[Counter Number]]="","","NA")</f>
        <v/>
      </c>
      <c r="AY196" s="172" t="str">
        <f>IF(Table2[[#This Row],[Counter Number]]="","",IF(Table2[[#This Row],[New Engine Fuel Type:]]="ULSD",Table1[[#This Row],[Annual Miles Traveled]]/Table1[[#This Row],[New Fuel (mpg) if Diesel]],""))</f>
        <v/>
      </c>
      <c r="AZ196" s="60"/>
      <c r="BA196" s="173" t="str">
        <f>IF(Table2[[#This Row],[Counter Number]]="","",Table2[[#This Row],[Annual Miles Traveled:]]*VLOOKUP(Table2[[#This Row],[Engine Model Year:]],EFTable[],3,FALSE))</f>
        <v/>
      </c>
      <c r="BB196" s="173" t="str">
        <f>IF(Table2[[#This Row],[Counter Number]]="","",Table2[[#This Row],[Annual Miles Traveled:]]*IF(Table2[[#This Row],[New Engine Fuel Type:]]="ULSD",VLOOKUP(Table2[[#This Row],[New Engine Model Year:]],EFTable[],3,FALSE),VLOOKUP(Table2[[#This Row],[New Engine Fuel Type:]],EFTable[],3,FALSE)))</f>
        <v/>
      </c>
      <c r="BC196" s="187" t="str">
        <f>IF(Table2[[#This Row],[Counter Number]]="","",Table2[[#This Row],[Old Bus NOx Emissions (tons/yr)]]-Table2[[#This Row],[New Bus NOx Emissions (tons/yr)]])</f>
        <v/>
      </c>
      <c r="BD196" s="188" t="str">
        <f>IF(Table2[[#This Row],[Counter Number]]="","",Table2[[#This Row],[Reduction Bus NOx Emissions (tons/yr)]]/Table2[[#This Row],[Old Bus NOx Emissions (tons/yr)]])</f>
        <v/>
      </c>
      <c r="BE196" s="175" t="str">
        <f>IF(Table2[[#This Row],[Counter Number]]="","",Table2[[#This Row],[Reduction Bus NOx Emissions (tons/yr)]]*Table2[[#This Row],[Remaining Life:]])</f>
        <v/>
      </c>
      <c r="BF196" s="189" t="str">
        <f>IF(Table2[[#This Row],[Counter Number]]="","",IF(Table2[[#This Row],[Lifetime NOx Reduction (tons)]]=0,"NA",Table2[[#This Row],[Upgrade Cost Per Unit]]/Table2[[#This Row],[Lifetime NOx Reduction (tons)]]))</f>
        <v/>
      </c>
      <c r="BG196" s="190" t="str">
        <f>IF(Table2[[#This Row],[Counter Number]]="","",Table2[[#This Row],[Annual Miles Traveled:]]*VLOOKUP(Table2[[#This Row],[Engine Model Year:]],EF!$A$2:$G$27,4,FALSE))</f>
        <v/>
      </c>
      <c r="BH196" s="173" t="str">
        <f>IF(Table2[[#This Row],[Counter Number]]="","",Table2[[#This Row],[Annual Miles Traveled:]]*IF(Table2[[#This Row],[New Engine Fuel Type:]]="ULSD",VLOOKUP(Table2[[#This Row],[New Engine Model Year:]],EFTable[],4,FALSE),VLOOKUP(Table2[[#This Row],[New Engine Fuel Type:]],EFTable[],4,FALSE)))</f>
        <v/>
      </c>
      <c r="BI196" s="191" t="str">
        <f>IF(Table2[[#This Row],[Counter Number]]="","",Table2[[#This Row],[Old Bus PM2.5 Emissions (tons/yr)]]-Table2[[#This Row],[New Bus PM2.5 Emissions (tons/yr)]])</f>
        <v/>
      </c>
      <c r="BJ196" s="192" t="str">
        <f>IF(Table2[[#This Row],[Counter Number]]="","",Table2[[#This Row],[Reduction Bus PM2.5 Emissions (tons/yr)]]/Table2[[#This Row],[Old Bus PM2.5 Emissions (tons/yr)]])</f>
        <v/>
      </c>
      <c r="BK196" s="193" t="str">
        <f>IF(Table2[[#This Row],[Counter Number]]="","",Table2[[#This Row],[Reduction Bus PM2.5 Emissions (tons/yr)]]*Table2[[#This Row],[Remaining Life:]])</f>
        <v/>
      </c>
      <c r="BL196" s="194" t="str">
        <f>IF(Table2[[#This Row],[Counter Number]]="","",IF(Table2[[#This Row],[Lifetime PM2.5 Reduction (tons)]]=0,"NA",Table2[[#This Row],[Upgrade Cost Per Unit]]/Table2[[#This Row],[Lifetime PM2.5 Reduction (tons)]]))</f>
        <v/>
      </c>
      <c r="BM196" s="179" t="str">
        <f>IF(Table2[[#This Row],[Counter Number]]="","",Table2[[#This Row],[Annual Miles Traveled:]]*VLOOKUP(Table2[[#This Row],[Engine Model Year:]],EF!$A$2:$G$40,5,FALSE))</f>
        <v/>
      </c>
      <c r="BN196" s="173" t="str">
        <f>IF(Table2[[#This Row],[Counter Number]]="","",Table2[[#This Row],[Annual Miles Traveled:]]*IF(Table2[[#This Row],[New Engine Fuel Type:]]="ULSD",VLOOKUP(Table2[[#This Row],[New Engine Model Year:]],EFTable[],5,FALSE),VLOOKUP(Table2[[#This Row],[New Engine Fuel Type:]],EFTable[],5,FALSE)))</f>
        <v/>
      </c>
      <c r="BO196" s="190" t="str">
        <f>IF(Table2[[#This Row],[Counter Number]]="","",Table2[[#This Row],[Old Bus HC Emissions (tons/yr)]]-Table2[[#This Row],[New Bus HC Emissions (tons/yr)]])</f>
        <v/>
      </c>
      <c r="BP196" s="188" t="str">
        <f>IF(Table2[[#This Row],[Counter Number]]="","",Table2[[#This Row],[Reduction Bus HC Emissions (tons/yr)]]/Table2[[#This Row],[Old Bus HC Emissions (tons/yr)]])</f>
        <v/>
      </c>
      <c r="BQ196" s="193" t="str">
        <f>IF(Table2[[#This Row],[Counter Number]]="","",Table2[[#This Row],[Reduction Bus HC Emissions (tons/yr)]]*Table2[[#This Row],[Remaining Life:]])</f>
        <v/>
      </c>
      <c r="BR196" s="194" t="str">
        <f>IF(Table2[[#This Row],[Counter Number]]="","",IF(Table2[[#This Row],[Lifetime HC Reduction (tons)]]=0,"NA",Table2[[#This Row],[Upgrade Cost Per Unit]]/Table2[[#This Row],[Lifetime HC Reduction (tons)]]))</f>
        <v/>
      </c>
      <c r="BS196" s="191" t="str">
        <f>IF(Table2[[#This Row],[Counter Number]]="","",Table2[[#This Row],[Annual Miles Traveled:]]*VLOOKUP(Table2[[#This Row],[Engine Model Year:]],EF!$A$2:$G$27,6,FALSE))</f>
        <v/>
      </c>
      <c r="BT196" s="173" t="str">
        <f>IF(Table2[[#This Row],[Counter Number]]="","",Table2[[#This Row],[Annual Miles Traveled:]]*IF(Table2[[#This Row],[New Engine Fuel Type:]]="ULSD",VLOOKUP(Table2[[#This Row],[New Engine Model Year:]],EFTable[],6,FALSE),VLOOKUP(Table2[[#This Row],[New Engine Fuel Type:]],EFTable[],6,FALSE)))</f>
        <v/>
      </c>
      <c r="BU196" s="190" t="str">
        <f>IF(Table2[[#This Row],[Counter Number]]="","",Table2[[#This Row],[Old Bus CO Emissions (tons/yr)]]-Table2[[#This Row],[New Bus CO Emissions (tons/yr)]])</f>
        <v/>
      </c>
      <c r="BV196" s="188" t="str">
        <f>IF(Table2[[#This Row],[Counter Number]]="","",Table2[[#This Row],[Reduction Bus CO Emissions (tons/yr)]]/Table2[[#This Row],[Old Bus CO Emissions (tons/yr)]])</f>
        <v/>
      </c>
      <c r="BW196" s="193" t="str">
        <f>IF(Table2[[#This Row],[Counter Number]]="","",Table2[[#This Row],[Reduction Bus CO Emissions (tons/yr)]]*Table2[[#This Row],[Remaining Life:]])</f>
        <v/>
      </c>
      <c r="BX196" s="194" t="str">
        <f>IF(Table2[[#This Row],[Counter Number]]="","",IF(Table2[[#This Row],[Lifetime CO Reduction (tons)]]=0,"NA",Table2[[#This Row],[Upgrade Cost Per Unit]]/Table2[[#This Row],[Lifetime CO Reduction (tons)]]))</f>
        <v/>
      </c>
      <c r="BY196" s="180" t="str">
        <f>IF(Table2[[#This Row],[Counter Number]]="","",Table2[[#This Row],[Old ULSD Used (gal):]]*VLOOKUP(Table2[[#This Row],[Engine Model Year:]],EF!$A$2:$G$27,7,FALSE))</f>
        <v/>
      </c>
      <c r="BZ19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6" s="195" t="str">
        <f>IF(Table2[[#This Row],[Counter Number]]="","",Table2[[#This Row],[Old Bus CO2 Emissions (tons/yr)]]-Table2[[#This Row],[New Bus CO2 Emissions (tons/yr)]])</f>
        <v/>
      </c>
      <c r="CB196" s="188" t="str">
        <f>IF(Table2[[#This Row],[Counter Number]]="","",Table2[[#This Row],[Reduction Bus CO2 Emissions (tons/yr)]]/Table2[[#This Row],[Old Bus CO2 Emissions (tons/yr)]])</f>
        <v/>
      </c>
      <c r="CC196" s="195" t="str">
        <f>IF(Table2[[#This Row],[Counter Number]]="","",Table2[[#This Row],[Reduction Bus CO2 Emissions (tons/yr)]]*Table2[[#This Row],[Remaining Life:]])</f>
        <v/>
      </c>
      <c r="CD196" s="194" t="str">
        <f>IF(Table2[[#This Row],[Counter Number]]="","",IF(Table2[[#This Row],[Lifetime CO2 Reduction (tons)]]=0,"NA",Table2[[#This Row],[Upgrade Cost Per Unit]]/Table2[[#This Row],[Lifetime CO2 Reduction (tons)]]))</f>
        <v/>
      </c>
      <c r="CE196" s="182" t="str">
        <f>IF(Table2[[#This Row],[Counter Number]]="","",IF(Table2[[#This Row],[New ULSD Used (gal):]]="",Table2[[#This Row],[Old ULSD Used (gal):]],Table2[[#This Row],[Old ULSD Used (gal):]]-Table2[[#This Row],[New ULSD Used (gal):]]))</f>
        <v/>
      </c>
      <c r="CF196" s="196" t="str">
        <f>IF(Table2[[#This Row],[Counter Number]]="","",Table2[[#This Row],[Diesel Fuel Reduction (gal/yr)]]/Table2[[#This Row],[Old ULSD Used (gal):]])</f>
        <v/>
      </c>
      <c r="CG196" s="197" t="str">
        <f>IF(Table2[[#This Row],[Counter Number]]="","",Table2[[#This Row],[Diesel Fuel Reduction (gal/yr)]]*Table2[[#This Row],[Remaining Life:]])</f>
        <v/>
      </c>
    </row>
    <row r="197" spans="1:85">
      <c r="A197" s="184" t="str">
        <f>IF(A172&lt;Application!$D$24,A172+1,"")</f>
        <v/>
      </c>
      <c r="B197" s="60" t="str">
        <f>IF(Table2[[#This Row],[Counter Number]]="","",Application!$D$16)</f>
        <v/>
      </c>
      <c r="C197" s="60" t="str">
        <f>IF(Table2[[#This Row],[Counter Number]]="","",Application!$D$14)</f>
        <v/>
      </c>
      <c r="D197" s="60" t="str">
        <f>IF(Table2[[#This Row],[Counter Number]]="","",Table1[[#This Row],[Old Bus Number]])</f>
        <v/>
      </c>
      <c r="E197" s="60" t="str">
        <f>IF(Table2[[#This Row],[Counter Number]]="","",Application!$D$15)</f>
        <v/>
      </c>
      <c r="F197" s="60" t="str">
        <f>IF(Table2[[#This Row],[Counter Number]]="","","On Highway")</f>
        <v/>
      </c>
      <c r="G197" s="60" t="str">
        <f>IF(Table2[[#This Row],[Counter Number]]="","",I197)</f>
        <v/>
      </c>
      <c r="H197" s="60" t="str">
        <f>IF(Table2[[#This Row],[Counter Number]]="","","Georgia")</f>
        <v/>
      </c>
      <c r="I197" s="60" t="str">
        <f>IF(Table2[[#This Row],[Counter Number]]="","",Application!$D$16)</f>
        <v/>
      </c>
      <c r="J197" s="60" t="str">
        <f>IF(Table2[[#This Row],[Counter Number]]="","",Application!$D$21)</f>
        <v/>
      </c>
      <c r="K197" s="60" t="str">
        <f>IF(Table2[[#This Row],[Counter Number]]="","",Application!$J$21)</f>
        <v/>
      </c>
      <c r="L197" s="60" t="str">
        <f>IF(Table2[[#This Row],[Counter Number]]="","","School Bus")</f>
        <v/>
      </c>
      <c r="M197" s="60" t="str">
        <f>IF(Table2[[#This Row],[Counter Number]]="","","School Bus")</f>
        <v/>
      </c>
      <c r="N197" s="60" t="str">
        <f>IF(Table2[[#This Row],[Counter Number]]="","",1)</f>
        <v/>
      </c>
      <c r="O197" s="60" t="str">
        <f>IF(Table2[[#This Row],[Counter Number]]="","",Table1[[#This Row],[Vehicle Identification Number(s):]])</f>
        <v/>
      </c>
      <c r="P197" s="60" t="str">
        <f>IF(Table2[[#This Row],[Counter Number]]="","",Table1[[#This Row],[Old Bus Manufacturer:]])</f>
        <v/>
      </c>
      <c r="Q197" s="60" t="str">
        <f>IF(Table2[[#This Row],[Counter Number]]="","",Table1[[#This Row],[Vehicle Model:]])</f>
        <v/>
      </c>
      <c r="R197" s="165" t="str">
        <f>IF(Table2[[#This Row],[Counter Number]]="","",Table1[[#This Row],[Vehicle Model Year:]])</f>
        <v/>
      </c>
      <c r="S197" s="60" t="str">
        <f>IF(Table2[[#This Row],[Counter Number]]="","",Table1[[#This Row],[Engine Serial Number(s):]])</f>
        <v/>
      </c>
      <c r="T197" s="60" t="str">
        <f>IF(Table2[[#This Row],[Counter Number]]="","",Table1[[#This Row],[Engine Make:]])</f>
        <v/>
      </c>
      <c r="U197" s="60" t="str">
        <f>IF(Table2[[#This Row],[Counter Number]]="","",Table1[[#This Row],[Engine Model:]])</f>
        <v/>
      </c>
      <c r="V197" s="165" t="str">
        <f>IF(Table2[[#This Row],[Counter Number]]="","",Table1[[#This Row],[Engine Model Year:]])</f>
        <v/>
      </c>
      <c r="W197" s="60" t="str">
        <f>IF(Table2[[#This Row],[Counter Number]]="","","NA")</f>
        <v/>
      </c>
      <c r="X197" s="165" t="str">
        <f>IF(Table2[[#This Row],[Counter Number]]="","",Table1[[#This Row],[Engine Horsepower (HP):]])</f>
        <v/>
      </c>
      <c r="Y197" s="165" t="str">
        <f>IF(Table2[[#This Row],[Counter Number]]="","",Table1[[#This Row],[Engine Cylinder Displacement (L):]]&amp;" L")</f>
        <v/>
      </c>
      <c r="Z197" s="165" t="str">
        <f>IF(Table2[[#This Row],[Counter Number]]="","",Table1[[#This Row],[Engine Number of Cylinders:]])</f>
        <v/>
      </c>
      <c r="AA197" s="166" t="str">
        <f>IF(Table2[[#This Row],[Counter Number]]="","",Table1[[#This Row],[Engine Family Name:]])</f>
        <v/>
      </c>
      <c r="AB197" s="60" t="str">
        <f>IF(Table2[[#This Row],[Counter Number]]="","","ULSD")</f>
        <v/>
      </c>
      <c r="AC197" s="167" t="str">
        <f>IF(Table2[[#This Row],[Counter Number]]="","",Table2[[#This Row],[Annual Miles Traveled:]]/Table1[[#This Row],[Old Fuel (mpg)]])</f>
        <v/>
      </c>
      <c r="AD197" s="60" t="str">
        <f>IF(Table2[[#This Row],[Counter Number]]="","","NA")</f>
        <v/>
      </c>
      <c r="AE197" s="168" t="str">
        <f>IF(Table2[[#This Row],[Counter Number]]="","",Table1[[#This Row],[Annual Miles Traveled]])</f>
        <v/>
      </c>
      <c r="AF197" s="169" t="str">
        <f>IF(Table2[[#This Row],[Counter Number]]="","",Table1[[#This Row],[Annual Idling Hours:]])</f>
        <v/>
      </c>
      <c r="AG197" s="60" t="str">
        <f>IF(Table2[[#This Row],[Counter Number]]="","","NA")</f>
        <v/>
      </c>
      <c r="AH197" s="165" t="str">
        <f>IF(Table2[[#This Row],[Counter Number]]="","",IF(Application!$J$25="Set Policy",Table1[[#This Row],[Remaining Life (years)         Set Policy]],Table1[[#This Row],[Remaining Life (years)               Case-by-Case]]))</f>
        <v/>
      </c>
      <c r="AI197" s="165" t="str">
        <f>IF(Table2[[#This Row],[Counter Number]]="","",IF(Application!$J$25="Case-by-Case","NA",Table2[[#This Row],[Fiscal Year of EPA Funds Used:]]+Table2[[#This Row],[Remaining Life:]]))</f>
        <v/>
      </c>
      <c r="AJ197" s="165"/>
      <c r="AK197" s="170" t="str">
        <f>IF(Table2[[#This Row],[Counter Number]]="","",Application!$D$14+1)</f>
        <v/>
      </c>
      <c r="AL197" s="60" t="str">
        <f>IF(Table2[[#This Row],[Counter Number]]="","","Vehicle Replacement")</f>
        <v/>
      </c>
      <c r="AM19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7" s="171" t="str">
        <f>IF(Table2[[#This Row],[Counter Number]]="","",Table1[[#This Row],[Cost of New Bus:]])</f>
        <v/>
      </c>
      <c r="AO197" s="60" t="str">
        <f>IF(Table2[[#This Row],[Counter Number]]="","","NA")</f>
        <v/>
      </c>
      <c r="AP197" s="165" t="str">
        <f>IF(Table2[[#This Row],[Counter Number]]="","",Table1[[#This Row],[New Engine Model Year:]])</f>
        <v/>
      </c>
      <c r="AQ197" s="60" t="str">
        <f>IF(Table2[[#This Row],[Counter Number]]="","","NA")</f>
        <v/>
      </c>
      <c r="AR197" s="165" t="str">
        <f>IF(Table2[[#This Row],[Counter Number]]="","",Table1[[#This Row],[New Engine Horsepower (HP):]])</f>
        <v/>
      </c>
      <c r="AS197" s="60" t="str">
        <f>IF(Table2[[#This Row],[Counter Number]]="","","NA")</f>
        <v/>
      </c>
      <c r="AT197" s="165" t="str">
        <f>IF(Table2[[#This Row],[Counter Number]]="","",Table1[[#This Row],[New Engine Cylinder Displacement (L):]]&amp;" L")</f>
        <v/>
      </c>
      <c r="AU197" s="114" t="str">
        <f>IF(Table2[[#This Row],[Counter Number]]="","",Table1[[#This Row],[New Engine Number of Cylinders:]])</f>
        <v/>
      </c>
      <c r="AV197" s="60" t="str">
        <f>IF(Table2[[#This Row],[Counter Number]]="","",Table1[[#This Row],[New Engine Family Name:]])</f>
        <v/>
      </c>
      <c r="AW19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7" s="60" t="str">
        <f>IF(Table2[[#This Row],[Counter Number]]="","","NA")</f>
        <v/>
      </c>
      <c r="AY197" s="172" t="str">
        <f>IF(Table2[[#This Row],[Counter Number]]="","",IF(Table2[[#This Row],[New Engine Fuel Type:]]="ULSD",Table1[[#This Row],[Annual Miles Traveled]]/Table1[[#This Row],[New Fuel (mpg) if Diesel]],""))</f>
        <v/>
      </c>
      <c r="AZ197" s="60"/>
      <c r="BA197" s="173" t="str">
        <f>IF(Table2[[#This Row],[Counter Number]]="","",Table2[[#This Row],[Annual Miles Traveled:]]*VLOOKUP(Table2[[#This Row],[Engine Model Year:]],EFTable[],3,FALSE))</f>
        <v/>
      </c>
      <c r="BB197" s="173" t="str">
        <f>IF(Table2[[#This Row],[Counter Number]]="","",Table2[[#This Row],[Annual Miles Traveled:]]*IF(Table2[[#This Row],[New Engine Fuel Type:]]="ULSD",VLOOKUP(Table2[[#This Row],[New Engine Model Year:]],EFTable[],3,FALSE),VLOOKUP(Table2[[#This Row],[New Engine Fuel Type:]],EFTable[],3,FALSE)))</f>
        <v/>
      </c>
      <c r="BC197" s="187" t="str">
        <f>IF(Table2[[#This Row],[Counter Number]]="","",Table2[[#This Row],[Old Bus NOx Emissions (tons/yr)]]-Table2[[#This Row],[New Bus NOx Emissions (tons/yr)]])</f>
        <v/>
      </c>
      <c r="BD197" s="188" t="str">
        <f>IF(Table2[[#This Row],[Counter Number]]="","",Table2[[#This Row],[Reduction Bus NOx Emissions (tons/yr)]]/Table2[[#This Row],[Old Bus NOx Emissions (tons/yr)]])</f>
        <v/>
      </c>
      <c r="BE197" s="175" t="str">
        <f>IF(Table2[[#This Row],[Counter Number]]="","",Table2[[#This Row],[Reduction Bus NOx Emissions (tons/yr)]]*Table2[[#This Row],[Remaining Life:]])</f>
        <v/>
      </c>
      <c r="BF197" s="189" t="str">
        <f>IF(Table2[[#This Row],[Counter Number]]="","",IF(Table2[[#This Row],[Lifetime NOx Reduction (tons)]]=0,"NA",Table2[[#This Row],[Upgrade Cost Per Unit]]/Table2[[#This Row],[Lifetime NOx Reduction (tons)]]))</f>
        <v/>
      </c>
      <c r="BG197" s="190" t="str">
        <f>IF(Table2[[#This Row],[Counter Number]]="","",Table2[[#This Row],[Annual Miles Traveled:]]*VLOOKUP(Table2[[#This Row],[Engine Model Year:]],EF!$A$2:$G$27,4,FALSE))</f>
        <v/>
      </c>
      <c r="BH197" s="173" t="str">
        <f>IF(Table2[[#This Row],[Counter Number]]="","",Table2[[#This Row],[Annual Miles Traveled:]]*IF(Table2[[#This Row],[New Engine Fuel Type:]]="ULSD",VLOOKUP(Table2[[#This Row],[New Engine Model Year:]],EFTable[],4,FALSE),VLOOKUP(Table2[[#This Row],[New Engine Fuel Type:]],EFTable[],4,FALSE)))</f>
        <v/>
      </c>
      <c r="BI197" s="191" t="str">
        <f>IF(Table2[[#This Row],[Counter Number]]="","",Table2[[#This Row],[Old Bus PM2.5 Emissions (tons/yr)]]-Table2[[#This Row],[New Bus PM2.5 Emissions (tons/yr)]])</f>
        <v/>
      </c>
      <c r="BJ197" s="192" t="str">
        <f>IF(Table2[[#This Row],[Counter Number]]="","",Table2[[#This Row],[Reduction Bus PM2.5 Emissions (tons/yr)]]/Table2[[#This Row],[Old Bus PM2.5 Emissions (tons/yr)]])</f>
        <v/>
      </c>
      <c r="BK197" s="193" t="str">
        <f>IF(Table2[[#This Row],[Counter Number]]="","",Table2[[#This Row],[Reduction Bus PM2.5 Emissions (tons/yr)]]*Table2[[#This Row],[Remaining Life:]])</f>
        <v/>
      </c>
      <c r="BL197" s="194" t="str">
        <f>IF(Table2[[#This Row],[Counter Number]]="","",IF(Table2[[#This Row],[Lifetime PM2.5 Reduction (tons)]]=0,"NA",Table2[[#This Row],[Upgrade Cost Per Unit]]/Table2[[#This Row],[Lifetime PM2.5 Reduction (tons)]]))</f>
        <v/>
      </c>
      <c r="BM197" s="179" t="str">
        <f>IF(Table2[[#This Row],[Counter Number]]="","",Table2[[#This Row],[Annual Miles Traveled:]]*VLOOKUP(Table2[[#This Row],[Engine Model Year:]],EF!$A$2:$G$40,5,FALSE))</f>
        <v/>
      </c>
      <c r="BN197" s="173" t="str">
        <f>IF(Table2[[#This Row],[Counter Number]]="","",Table2[[#This Row],[Annual Miles Traveled:]]*IF(Table2[[#This Row],[New Engine Fuel Type:]]="ULSD",VLOOKUP(Table2[[#This Row],[New Engine Model Year:]],EFTable[],5,FALSE),VLOOKUP(Table2[[#This Row],[New Engine Fuel Type:]],EFTable[],5,FALSE)))</f>
        <v/>
      </c>
      <c r="BO197" s="190" t="str">
        <f>IF(Table2[[#This Row],[Counter Number]]="","",Table2[[#This Row],[Old Bus HC Emissions (tons/yr)]]-Table2[[#This Row],[New Bus HC Emissions (tons/yr)]])</f>
        <v/>
      </c>
      <c r="BP197" s="188" t="str">
        <f>IF(Table2[[#This Row],[Counter Number]]="","",Table2[[#This Row],[Reduction Bus HC Emissions (tons/yr)]]/Table2[[#This Row],[Old Bus HC Emissions (tons/yr)]])</f>
        <v/>
      </c>
      <c r="BQ197" s="193" t="str">
        <f>IF(Table2[[#This Row],[Counter Number]]="","",Table2[[#This Row],[Reduction Bus HC Emissions (tons/yr)]]*Table2[[#This Row],[Remaining Life:]])</f>
        <v/>
      </c>
      <c r="BR197" s="194" t="str">
        <f>IF(Table2[[#This Row],[Counter Number]]="","",IF(Table2[[#This Row],[Lifetime HC Reduction (tons)]]=0,"NA",Table2[[#This Row],[Upgrade Cost Per Unit]]/Table2[[#This Row],[Lifetime HC Reduction (tons)]]))</f>
        <v/>
      </c>
      <c r="BS197" s="191" t="str">
        <f>IF(Table2[[#This Row],[Counter Number]]="","",Table2[[#This Row],[Annual Miles Traveled:]]*VLOOKUP(Table2[[#This Row],[Engine Model Year:]],EF!$A$2:$G$27,6,FALSE))</f>
        <v/>
      </c>
      <c r="BT197" s="173" t="str">
        <f>IF(Table2[[#This Row],[Counter Number]]="","",Table2[[#This Row],[Annual Miles Traveled:]]*IF(Table2[[#This Row],[New Engine Fuel Type:]]="ULSD",VLOOKUP(Table2[[#This Row],[New Engine Model Year:]],EFTable[],6,FALSE),VLOOKUP(Table2[[#This Row],[New Engine Fuel Type:]],EFTable[],6,FALSE)))</f>
        <v/>
      </c>
      <c r="BU197" s="190" t="str">
        <f>IF(Table2[[#This Row],[Counter Number]]="","",Table2[[#This Row],[Old Bus CO Emissions (tons/yr)]]-Table2[[#This Row],[New Bus CO Emissions (tons/yr)]])</f>
        <v/>
      </c>
      <c r="BV197" s="188" t="str">
        <f>IF(Table2[[#This Row],[Counter Number]]="","",Table2[[#This Row],[Reduction Bus CO Emissions (tons/yr)]]/Table2[[#This Row],[Old Bus CO Emissions (tons/yr)]])</f>
        <v/>
      </c>
      <c r="BW197" s="193" t="str">
        <f>IF(Table2[[#This Row],[Counter Number]]="","",Table2[[#This Row],[Reduction Bus CO Emissions (tons/yr)]]*Table2[[#This Row],[Remaining Life:]])</f>
        <v/>
      </c>
      <c r="BX197" s="194" t="str">
        <f>IF(Table2[[#This Row],[Counter Number]]="","",IF(Table2[[#This Row],[Lifetime CO Reduction (tons)]]=0,"NA",Table2[[#This Row],[Upgrade Cost Per Unit]]/Table2[[#This Row],[Lifetime CO Reduction (tons)]]))</f>
        <v/>
      </c>
      <c r="BY197" s="180" t="str">
        <f>IF(Table2[[#This Row],[Counter Number]]="","",Table2[[#This Row],[Old ULSD Used (gal):]]*VLOOKUP(Table2[[#This Row],[Engine Model Year:]],EF!$A$2:$G$27,7,FALSE))</f>
        <v/>
      </c>
      <c r="BZ19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7" s="195" t="str">
        <f>IF(Table2[[#This Row],[Counter Number]]="","",Table2[[#This Row],[Old Bus CO2 Emissions (tons/yr)]]-Table2[[#This Row],[New Bus CO2 Emissions (tons/yr)]])</f>
        <v/>
      </c>
      <c r="CB197" s="188" t="str">
        <f>IF(Table2[[#This Row],[Counter Number]]="","",Table2[[#This Row],[Reduction Bus CO2 Emissions (tons/yr)]]/Table2[[#This Row],[Old Bus CO2 Emissions (tons/yr)]])</f>
        <v/>
      </c>
      <c r="CC197" s="195" t="str">
        <f>IF(Table2[[#This Row],[Counter Number]]="","",Table2[[#This Row],[Reduction Bus CO2 Emissions (tons/yr)]]*Table2[[#This Row],[Remaining Life:]])</f>
        <v/>
      </c>
      <c r="CD197" s="194" t="str">
        <f>IF(Table2[[#This Row],[Counter Number]]="","",IF(Table2[[#This Row],[Lifetime CO2 Reduction (tons)]]=0,"NA",Table2[[#This Row],[Upgrade Cost Per Unit]]/Table2[[#This Row],[Lifetime CO2 Reduction (tons)]]))</f>
        <v/>
      </c>
      <c r="CE197" s="182" t="str">
        <f>IF(Table2[[#This Row],[Counter Number]]="","",IF(Table2[[#This Row],[New ULSD Used (gal):]]="",Table2[[#This Row],[Old ULSD Used (gal):]],Table2[[#This Row],[Old ULSD Used (gal):]]-Table2[[#This Row],[New ULSD Used (gal):]]))</f>
        <v/>
      </c>
      <c r="CF197" s="196" t="str">
        <f>IF(Table2[[#This Row],[Counter Number]]="","",Table2[[#This Row],[Diesel Fuel Reduction (gal/yr)]]/Table2[[#This Row],[Old ULSD Used (gal):]])</f>
        <v/>
      </c>
      <c r="CG197" s="197" t="str">
        <f>IF(Table2[[#This Row],[Counter Number]]="","",Table2[[#This Row],[Diesel Fuel Reduction (gal/yr)]]*Table2[[#This Row],[Remaining Life:]])</f>
        <v/>
      </c>
    </row>
    <row r="198" spans="1:85">
      <c r="A198" s="184" t="str">
        <f>IF(A173&lt;Application!$D$24,A173+1,"")</f>
        <v/>
      </c>
      <c r="B198" s="60" t="str">
        <f>IF(Table2[[#This Row],[Counter Number]]="","",Application!$D$16)</f>
        <v/>
      </c>
      <c r="C198" s="60" t="str">
        <f>IF(Table2[[#This Row],[Counter Number]]="","",Application!$D$14)</f>
        <v/>
      </c>
      <c r="D198" s="60" t="str">
        <f>IF(Table2[[#This Row],[Counter Number]]="","",Table1[[#This Row],[Old Bus Number]])</f>
        <v/>
      </c>
      <c r="E198" s="60" t="str">
        <f>IF(Table2[[#This Row],[Counter Number]]="","",Application!$D$15)</f>
        <v/>
      </c>
      <c r="F198" s="60" t="str">
        <f>IF(Table2[[#This Row],[Counter Number]]="","","On Highway")</f>
        <v/>
      </c>
      <c r="G198" s="60" t="str">
        <f>IF(Table2[[#This Row],[Counter Number]]="","",I198)</f>
        <v/>
      </c>
      <c r="H198" s="60" t="str">
        <f>IF(Table2[[#This Row],[Counter Number]]="","","Georgia")</f>
        <v/>
      </c>
      <c r="I198" s="60" t="str">
        <f>IF(Table2[[#This Row],[Counter Number]]="","",Application!$D$16)</f>
        <v/>
      </c>
      <c r="J198" s="60" t="str">
        <f>IF(Table2[[#This Row],[Counter Number]]="","",Application!$D$21)</f>
        <v/>
      </c>
      <c r="K198" s="60" t="str">
        <f>IF(Table2[[#This Row],[Counter Number]]="","",Application!$J$21)</f>
        <v/>
      </c>
      <c r="L198" s="60" t="str">
        <f>IF(Table2[[#This Row],[Counter Number]]="","","School Bus")</f>
        <v/>
      </c>
      <c r="M198" s="60" t="str">
        <f>IF(Table2[[#This Row],[Counter Number]]="","","School Bus")</f>
        <v/>
      </c>
      <c r="N198" s="60" t="str">
        <f>IF(Table2[[#This Row],[Counter Number]]="","",1)</f>
        <v/>
      </c>
      <c r="O198" s="60" t="str">
        <f>IF(Table2[[#This Row],[Counter Number]]="","",Table1[[#This Row],[Vehicle Identification Number(s):]])</f>
        <v/>
      </c>
      <c r="P198" s="60" t="str">
        <f>IF(Table2[[#This Row],[Counter Number]]="","",Table1[[#This Row],[Old Bus Manufacturer:]])</f>
        <v/>
      </c>
      <c r="Q198" s="60" t="str">
        <f>IF(Table2[[#This Row],[Counter Number]]="","",Table1[[#This Row],[Vehicle Model:]])</f>
        <v/>
      </c>
      <c r="R198" s="165" t="str">
        <f>IF(Table2[[#This Row],[Counter Number]]="","",Table1[[#This Row],[Vehicle Model Year:]])</f>
        <v/>
      </c>
      <c r="S198" s="60" t="str">
        <f>IF(Table2[[#This Row],[Counter Number]]="","",Table1[[#This Row],[Engine Serial Number(s):]])</f>
        <v/>
      </c>
      <c r="T198" s="60" t="str">
        <f>IF(Table2[[#This Row],[Counter Number]]="","",Table1[[#This Row],[Engine Make:]])</f>
        <v/>
      </c>
      <c r="U198" s="60" t="str">
        <f>IF(Table2[[#This Row],[Counter Number]]="","",Table1[[#This Row],[Engine Model:]])</f>
        <v/>
      </c>
      <c r="V198" s="165" t="str">
        <f>IF(Table2[[#This Row],[Counter Number]]="","",Table1[[#This Row],[Engine Model Year:]])</f>
        <v/>
      </c>
      <c r="W198" s="60" t="str">
        <f>IF(Table2[[#This Row],[Counter Number]]="","","NA")</f>
        <v/>
      </c>
      <c r="X198" s="165" t="str">
        <f>IF(Table2[[#This Row],[Counter Number]]="","",Table1[[#This Row],[Engine Horsepower (HP):]])</f>
        <v/>
      </c>
      <c r="Y198" s="165" t="str">
        <f>IF(Table2[[#This Row],[Counter Number]]="","",Table1[[#This Row],[Engine Cylinder Displacement (L):]]&amp;" L")</f>
        <v/>
      </c>
      <c r="Z198" s="165" t="str">
        <f>IF(Table2[[#This Row],[Counter Number]]="","",Table1[[#This Row],[Engine Number of Cylinders:]])</f>
        <v/>
      </c>
      <c r="AA198" s="166" t="str">
        <f>IF(Table2[[#This Row],[Counter Number]]="","",Table1[[#This Row],[Engine Family Name:]])</f>
        <v/>
      </c>
      <c r="AB198" s="60" t="str">
        <f>IF(Table2[[#This Row],[Counter Number]]="","","ULSD")</f>
        <v/>
      </c>
      <c r="AC198" s="167" t="str">
        <f>IF(Table2[[#This Row],[Counter Number]]="","",Table2[[#This Row],[Annual Miles Traveled:]]/Table1[[#This Row],[Old Fuel (mpg)]])</f>
        <v/>
      </c>
      <c r="AD198" s="60" t="str">
        <f>IF(Table2[[#This Row],[Counter Number]]="","","NA")</f>
        <v/>
      </c>
      <c r="AE198" s="168" t="str">
        <f>IF(Table2[[#This Row],[Counter Number]]="","",Table1[[#This Row],[Annual Miles Traveled]])</f>
        <v/>
      </c>
      <c r="AF198" s="169" t="str">
        <f>IF(Table2[[#This Row],[Counter Number]]="","",Table1[[#This Row],[Annual Idling Hours:]])</f>
        <v/>
      </c>
      <c r="AG198" s="60" t="str">
        <f>IF(Table2[[#This Row],[Counter Number]]="","","NA")</f>
        <v/>
      </c>
      <c r="AH198" s="165" t="str">
        <f>IF(Table2[[#This Row],[Counter Number]]="","",IF(Application!$J$25="Set Policy",Table1[[#This Row],[Remaining Life (years)         Set Policy]],Table1[[#This Row],[Remaining Life (years)               Case-by-Case]]))</f>
        <v/>
      </c>
      <c r="AI198" s="165" t="str">
        <f>IF(Table2[[#This Row],[Counter Number]]="","",IF(Application!$J$25="Case-by-Case","NA",Table2[[#This Row],[Fiscal Year of EPA Funds Used:]]+Table2[[#This Row],[Remaining Life:]]))</f>
        <v/>
      </c>
      <c r="AJ198" s="165"/>
      <c r="AK198" s="170" t="str">
        <f>IF(Table2[[#This Row],[Counter Number]]="","",Application!$D$14+1)</f>
        <v/>
      </c>
      <c r="AL198" s="60" t="str">
        <f>IF(Table2[[#This Row],[Counter Number]]="","","Vehicle Replacement")</f>
        <v/>
      </c>
      <c r="AM19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8" s="171" t="str">
        <f>IF(Table2[[#This Row],[Counter Number]]="","",Table1[[#This Row],[Cost of New Bus:]])</f>
        <v/>
      </c>
      <c r="AO198" s="60" t="str">
        <f>IF(Table2[[#This Row],[Counter Number]]="","","NA")</f>
        <v/>
      </c>
      <c r="AP198" s="165" t="str">
        <f>IF(Table2[[#This Row],[Counter Number]]="","",Table1[[#This Row],[New Engine Model Year:]])</f>
        <v/>
      </c>
      <c r="AQ198" s="60" t="str">
        <f>IF(Table2[[#This Row],[Counter Number]]="","","NA")</f>
        <v/>
      </c>
      <c r="AR198" s="165" t="str">
        <f>IF(Table2[[#This Row],[Counter Number]]="","",Table1[[#This Row],[New Engine Horsepower (HP):]])</f>
        <v/>
      </c>
      <c r="AS198" s="60" t="str">
        <f>IF(Table2[[#This Row],[Counter Number]]="","","NA")</f>
        <v/>
      </c>
      <c r="AT198" s="165" t="str">
        <f>IF(Table2[[#This Row],[Counter Number]]="","",Table1[[#This Row],[New Engine Cylinder Displacement (L):]]&amp;" L")</f>
        <v/>
      </c>
      <c r="AU198" s="114" t="str">
        <f>IF(Table2[[#This Row],[Counter Number]]="","",Table1[[#This Row],[New Engine Number of Cylinders:]])</f>
        <v/>
      </c>
      <c r="AV198" s="60" t="str">
        <f>IF(Table2[[#This Row],[Counter Number]]="","",Table1[[#This Row],[New Engine Family Name:]])</f>
        <v/>
      </c>
      <c r="AW19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8" s="60" t="str">
        <f>IF(Table2[[#This Row],[Counter Number]]="","","NA")</f>
        <v/>
      </c>
      <c r="AY198" s="172" t="str">
        <f>IF(Table2[[#This Row],[Counter Number]]="","",IF(Table2[[#This Row],[New Engine Fuel Type:]]="ULSD",Table1[[#This Row],[Annual Miles Traveled]]/Table1[[#This Row],[New Fuel (mpg) if Diesel]],""))</f>
        <v/>
      </c>
      <c r="AZ198" s="60"/>
      <c r="BA198" s="173" t="str">
        <f>IF(Table2[[#This Row],[Counter Number]]="","",Table2[[#This Row],[Annual Miles Traveled:]]*VLOOKUP(Table2[[#This Row],[Engine Model Year:]],EFTable[],3,FALSE))</f>
        <v/>
      </c>
      <c r="BB198" s="173" t="str">
        <f>IF(Table2[[#This Row],[Counter Number]]="","",Table2[[#This Row],[Annual Miles Traveled:]]*IF(Table2[[#This Row],[New Engine Fuel Type:]]="ULSD",VLOOKUP(Table2[[#This Row],[New Engine Model Year:]],EFTable[],3,FALSE),VLOOKUP(Table2[[#This Row],[New Engine Fuel Type:]],EFTable[],3,FALSE)))</f>
        <v/>
      </c>
      <c r="BC198" s="187" t="str">
        <f>IF(Table2[[#This Row],[Counter Number]]="","",Table2[[#This Row],[Old Bus NOx Emissions (tons/yr)]]-Table2[[#This Row],[New Bus NOx Emissions (tons/yr)]])</f>
        <v/>
      </c>
      <c r="BD198" s="188" t="str">
        <f>IF(Table2[[#This Row],[Counter Number]]="","",Table2[[#This Row],[Reduction Bus NOx Emissions (tons/yr)]]/Table2[[#This Row],[Old Bus NOx Emissions (tons/yr)]])</f>
        <v/>
      </c>
      <c r="BE198" s="175" t="str">
        <f>IF(Table2[[#This Row],[Counter Number]]="","",Table2[[#This Row],[Reduction Bus NOx Emissions (tons/yr)]]*Table2[[#This Row],[Remaining Life:]])</f>
        <v/>
      </c>
      <c r="BF198" s="189" t="str">
        <f>IF(Table2[[#This Row],[Counter Number]]="","",IF(Table2[[#This Row],[Lifetime NOx Reduction (tons)]]=0,"NA",Table2[[#This Row],[Upgrade Cost Per Unit]]/Table2[[#This Row],[Lifetime NOx Reduction (tons)]]))</f>
        <v/>
      </c>
      <c r="BG198" s="190" t="str">
        <f>IF(Table2[[#This Row],[Counter Number]]="","",Table2[[#This Row],[Annual Miles Traveled:]]*VLOOKUP(Table2[[#This Row],[Engine Model Year:]],EF!$A$2:$G$27,4,FALSE))</f>
        <v/>
      </c>
      <c r="BH198" s="173" t="str">
        <f>IF(Table2[[#This Row],[Counter Number]]="","",Table2[[#This Row],[Annual Miles Traveled:]]*IF(Table2[[#This Row],[New Engine Fuel Type:]]="ULSD",VLOOKUP(Table2[[#This Row],[New Engine Model Year:]],EFTable[],4,FALSE),VLOOKUP(Table2[[#This Row],[New Engine Fuel Type:]],EFTable[],4,FALSE)))</f>
        <v/>
      </c>
      <c r="BI198" s="191" t="str">
        <f>IF(Table2[[#This Row],[Counter Number]]="","",Table2[[#This Row],[Old Bus PM2.5 Emissions (tons/yr)]]-Table2[[#This Row],[New Bus PM2.5 Emissions (tons/yr)]])</f>
        <v/>
      </c>
      <c r="BJ198" s="192" t="str">
        <f>IF(Table2[[#This Row],[Counter Number]]="","",Table2[[#This Row],[Reduction Bus PM2.5 Emissions (tons/yr)]]/Table2[[#This Row],[Old Bus PM2.5 Emissions (tons/yr)]])</f>
        <v/>
      </c>
      <c r="BK198" s="193" t="str">
        <f>IF(Table2[[#This Row],[Counter Number]]="","",Table2[[#This Row],[Reduction Bus PM2.5 Emissions (tons/yr)]]*Table2[[#This Row],[Remaining Life:]])</f>
        <v/>
      </c>
      <c r="BL198" s="194" t="str">
        <f>IF(Table2[[#This Row],[Counter Number]]="","",IF(Table2[[#This Row],[Lifetime PM2.5 Reduction (tons)]]=0,"NA",Table2[[#This Row],[Upgrade Cost Per Unit]]/Table2[[#This Row],[Lifetime PM2.5 Reduction (tons)]]))</f>
        <v/>
      </c>
      <c r="BM198" s="179" t="str">
        <f>IF(Table2[[#This Row],[Counter Number]]="","",Table2[[#This Row],[Annual Miles Traveled:]]*VLOOKUP(Table2[[#This Row],[Engine Model Year:]],EF!$A$2:$G$40,5,FALSE))</f>
        <v/>
      </c>
      <c r="BN198" s="173" t="str">
        <f>IF(Table2[[#This Row],[Counter Number]]="","",Table2[[#This Row],[Annual Miles Traveled:]]*IF(Table2[[#This Row],[New Engine Fuel Type:]]="ULSD",VLOOKUP(Table2[[#This Row],[New Engine Model Year:]],EFTable[],5,FALSE),VLOOKUP(Table2[[#This Row],[New Engine Fuel Type:]],EFTable[],5,FALSE)))</f>
        <v/>
      </c>
      <c r="BO198" s="190" t="str">
        <f>IF(Table2[[#This Row],[Counter Number]]="","",Table2[[#This Row],[Old Bus HC Emissions (tons/yr)]]-Table2[[#This Row],[New Bus HC Emissions (tons/yr)]])</f>
        <v/>
      </c>
      <c r="BP198" s="188" t="str">
        <f>IF(Table2[[#This Row],[Counter Number]]="","",Table2[[#This Row],[Reduction Bus HC Emissions (tons/yr)]]/Table2[[#This Row],[Old Bus HC Emissions (tons/yr)]])</f>
        <v/>
      </c>
      <c r="BQ198" s="193" t="str">
        <f>IF(Table2[[#This Row],[Counter Number]]="","",Table2[[#This Row],[Reduction Bus HC Emissions (tons/yr)]]*Table2[[#This Row],[Remaining Life:]])</f>
        <v/>
      </c>
      <c r="BR198" s="194" t="str">
        <f>IF(Table2[[#This Row],[Counter Number]]="","",IF(Table2[[#This Row],[Lifetime HC Reduction (tons)]]=0,"NA",Table2[[#This Row],[Upgrade Cost Per Unit]]/Table2[[#This Row],[Lifetime HC Reduction (tons)]]))</f>
        <v/>
      </c>
      <c r="BS198" s="191" t="str">
        <f>IF(Table2[[#This Row],[Counter Number]]="","",Table2[[#This Row],[Annual Miles Traveled:]]*VLOOKUP(Table2[[#This Row],[Engine Model Year:]],EF!$A$2:$G$27,6,FALSE))</f>
        <v/>
      </c>
      <c r="BT198" s="173" t="str">
        <f>IF(Table2[[#This Row],[Counter Number]]="","",Table2[[#This Row],[Annual Miles Traveled:]]*IF(Table2[[#This Row],[New Engine Fuel Type:]]="ULSD",VLOOKUP(Table2[[#This Row],[New Engine Model Year:]],EFTable[],6,FALSE),VLOOKUP(Table2[[#This Row],[New Engine Fuel Type:]],EFTable[],6,FALSE)))</f>
        <v/>
      </c>
      <c r="BU198" s="190" t="str">
        <f>IF(Table2[[#This Row],[Counter Number]]="","",Table2[[#This Row],[Old Bus CO Emissions (tons/yr)]]-Table2[[#This Row],[New Bus CO Emissions (tons/yr)]])</f>
        <v/>
      </c>
      <c r="BV198" s="188" t="str">
        <f>IF(Table2[[#This Row],[Counter Number]]="","",Table2[[#This Row],[Reduction Bus CO Emissions (tons/yr)]]/Table2[[#This Row],[Old Bus CO Emissions (tons/yr)]])</f>
        <v/>
      </c>
      <c r="BW198" s="193" t="str">
        <f>IF(Table2[[#This Row],[Counter Number]]="","",Table2[[#This Row],[Reduction Bus CO Emissions (tons/yr)]]*Table2[[#This Row],[Remaining Life:]])</f>
        <v/>
      </c>
      <c r="BX198" s="194" t="str">
        <f>IF(Table2[[#This Row],[Counter Number]]="","",IF(Table2[[#This Row],[Lifetime CO Reduction (tons)]]=0,"NA",Table2[[#This Row],[Upgrade Cost Per Unit]]/Table2[[#This Row],[Lifetime CO Reduction (tons)]]))</f>
        <v/>
      </c>
      <c r="BY198" s="180" t="str">
        <f>IF(Table2[[#This Row],[Counter Number]]="","",Table2[[#This Row],[Old ULSD Used (gal):]]*VLOOKUP(Table2[[#This Row],[Engine Model Year:]],EF!$A$2:$G$27,7,FALSE))</f>
        <v/>
      </c>
      <c r="BZ19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8" s="195" t="str">
        <f>IF(Table2[[#This Row],[Counter Number]]="","",Table2[[#This Row],[Old Bus CO2 Emissions (tons/yr)]]-Table2[[#This Row],[New Bus CO2 Emissions (tons/yr)]])</f>
        <v/>
      </c>
      <c r="CB198" s="188" t="str">
        <f>IF(Table2[[#This Row],[Counter Number]]="","",Table2[[#This Row],[Reduction Bus CO2 Emissions (tons/yr)]]/Table2[[#This Row],[Old Bus CO2 Emissions (tons/yr)]])</f>
        <v/>
      </c>
      <c r="CC198" s="195" t="str">
        <f>IF(Table2[[#This Row],[Counter Number]]="","",Table2[[#This Row],[Reduction Bus CO2 Emissions (tons/yr)]]*Table2[[#This Row],[Remaining Life:]])</f>
        <v/>
      </c>
      <c r="CD198" s="194" t="str">
        <f>IF(Table2[[#This Row],[Counter Number]]="","",IF(Table2[[#This Row],[Lifetime CO2 Reduction (tons)]]=0,"NA",Table2[[#This Row],[Upgrade Cost Per Unit]]/Table2[[#This Row],[Lifetime CO2 Reduction (tons)]]))</f>
        <v/>
      </c>
      <c r="CE198" s="182" t="str">
        <f>IF(Table2[[#This Row],[Counter Number]]="","",IF(Table2[[#This Row],[New ULSD Used (gal):]]="",Table2[[#This Row],[Old ULSD Used (gal):]],Table2[[#This Row],[Old ULSD Used (gal):]]-Table2[[#This Row],[New ULSD Used (gal):]]))</f>
        <v/>
      </c>
      <c r="CF198" s="196" t="str">
        <f>IF(Table2[[#This Row],[Counter Number]]="","",Table2[[#This Row],[Diesel Fuel Reduction (gal/yr)]]/Table2[[#This Row],[Old ULSD Used (gal):]])</f>
        <v/>
      </c>
      <c r="CG198" s="197" t="str">
        <f>IF(Table2[[#This Row],[Counter Number]]="","",Table2[[#This Row],[Diesel Fuel Reduction (gal/yr)]]*Table2[[#This Row],[Remaining Life:]])</f>
        <v/>
      </c>
    </row>
    <row r="199" spans="1:85">
      <c r="A199" s="184" t="str">
        <f>IF(A174&lt;Application!$D$24,A174+1,"")</f>
        <v/>
      </c>
      <c r="B199" s="60" t="str">
        <f>IF(Table2[[#This Row],[Counter Number]]="","",Application!$D$16)</f>
        <v/>
      </c>
      <c r="C199" s="60" t="str">
        <f>IF(Table2[[#This Row],[Counter Number]]="","",Application!$D$14)</f>
        <v/>
      </c>
      <c r="D199" s="60" t="str">
        <f>IF(Table2[[#This Row],[Counter Number]]="","",Table1[[#This Row],[Old Bus Number]])</f>
        <v/>
      </c>
      <c r="E199" s="60" t="str">
        <f>IF(Table2[[#This Row],[Counter Number]]="","",Application!$D$15)</f>
        <v/>
      </c>
      <c r="F199" s="60" t="str">
        <f>IF(Table2[[#This Row],[Counter Number]]="","","On Highway")</f>
        <v/>
      </c>
      <c r="G199" s="60" t="str">
        <f>IF(Table2[[#This Row],[Counter Number]]="","",I199)</f>
        <v/>
      </c>
      <c r="H199" s="60" t="str">
        <f>IF(Table2[[#This Row],[Counter Number]]="","","Georgia")</f>
        <v/>
      </c>
      <c r="I199" s="60" t="str">
        <f>IF(Table2[[#This Row],[Counter Number]]="","",Application!$D$16)</f>
        <v/>
      </c>
      <c r="J199" s="60" t="str">
        <f>IF(Table2[[#This Row],[Counter Number]]="","",Application!$D$21)</f>
        <v/>
      </c>
      <c r="K199" s="60" t="str">
        <f>IF(Table2[[#This Row],[Counter Number]]="","",Application!$J$21)</f>
        <v/>
      </c>
      <c r="L199" s="60" t="str">
        <f>IF(Table2[[#This Row],[Counter Number]]="","","School Bus")</f>
        <v/>
      </c>
      <c r="M199" s="60" t="str">
        <f>IF(Table2[[#This Row],[Counter Number]]="","","School Bus")</f>
        <v/>
      </c>
      <c r="N199" s="60" t="str">
        <f>IF(Table2[[#This Row],[Counter Number]]="","",1)</f>
        <v/>
      </c>
      <c r="O199" s="60" t="str">
        <f>IF(Table2[[#This Row],[Counter Number]]="","",Table1[[#This Row],[Vehicle Identification Number(s):]])</f>
        <v/>
      </c>
      <c r="P199" s="60" t="str">
        <f>IF(Table2[[#This Row],[Counter Number]]="","",Table1[[#This Row],[Old Bus Manufacturer:]])</f>
        <v/>
      </c>
      <c r="Q199" s="60" t="str">
        <f>IF(Table2[[#This Row],[Counter Number]]="","",Table1[[#This Row],[Vehicle Model:]])</f>
        <v/>
      </c>
      <c r="R199" s="165" t="str">
        <f>IF(Table2[[#This Row],[Counter Number]]="","",Table1[[#This Row],[Vehicle Model Year:]])</f>
        <v/>
      </c>
      <c r="S199" s="60" t="str">
        <f>IF(Table2[[#This Row],[Counter Number]]="","",Table1[[#This Row],[Engine Serial Number(s):]])</f>
        <v/>
      </c>
      <c r="T199" s="60" t="str">
        <f>IF(Table2[[#This Row],[Counter Number]]="","",Table1[[#This Row],[Engine Make:]])</f>
        <v/>
      </c>
      <c r="U199" s="60" t="str">
        <f>IF(Table2[[#This Row],[Counter Number]]="","",Table1[[#This Row],[Engine Model:]])</f>
        <v/>
      </c>
      <c r="V199" s="165" t="str">
        <f>IF(Table2[[#This Row],[Counter Number]]="","",Table1[[#This Row],[Engine Model Year:]])</f>
        <v/>
      </c>
      <c r="W199" s="60" t="str">
        <f>IF(Table2[[#This Row],[Counter Number]]="","","NA")</f>
        <v/>
      </c>
      <c r="X199" s="165" t="str">
        <f>IF(Table2[[#This Row],[Counter Number]]="","",Table1[[#This Row],[Engine Horsepower (HP):]])</f>
        <v/>
      </c>
      <c r="Y199" s="165" t="str">
        <f>IF(Table2[[#This Row],[Counter Number]]="","",Table1[[#This Row],[Engine Cylinder Displacement (L):]]&amp;" L")</f>
        <v/>
      </c>
      <c r="Z199" s="165" t="str">
        <f>IF(Table2[[#This Row],[Counter Number]]="","",Table1[[#This Row],[Engine Number of Cylinders:]])</f>
        <v/>
      </c>
      <c r="AA199" s="166" t="str">
        <f>IF(Table2[[#This Row],[Counter Number]]="","",Table1[[#This Row],[Engine Family Name:]])</f>
        <v/>
      </c>
      <c r="AB199" s="60" t="str">
        <f>IF(Table2[[#This Row],[Counter Number]]="","","ULSD")</f>
        <v/>
      </c>
      <c r="AC199" s="167" t="str">
        <f>IF(Table2[[#This Row],[Counter Number]]="","",Table2[[#This Row],[Annual Miles Traveled:]]/Table1[[#This Row],[Old Fuel (mpg)]])</f>
        <v/>
      </c>
      <c r="AD199" s="60" t="str">
        <f>IF(Table2[[#This Row],[Counter Number]]="","","NA")</f>
        <v/>
      </c>
      <c r="AE199" s="168" t="str">
        <f>IF(Table2[[#This Row],[Counter Number]]="","",Table1[[#This Row],[Annual Miles Traveled]])</f>
        <v/>
      </c>
      <c r="AF199" s="169" t="str">
        <f>IF(Table2[[#This Row],[Counter Number]]="","",Table1[[#This Row],[Annual Idling Hours:]])</f>
        <v/>
      </c>
      <c r="AG199" s="60" t="str">
        <f>IF(Table2[[#This Row],[Counter Number]]="","","NA")</f>
        <v/>
      </c>
      <c r="AH199" s="165" t="str">
        <f>IF(Table2[[#This Row],[Counter Number]]="","",IF(Application!$J$25="Set Policy",Table1[[#This Row],[Remaining Life (years)         Set Policy]],Table1[[#This Row],[Remaining Life (years)               Case-by-Case]]))</f>
        <v/>
      </c>
      <c r="AI199" s="165" t="str">
        <f>IF(Table2[[#This Row],[Counter Number]]="","",IF(Application!$J$25="Case-by-Case","NA",Table2[[#This Row],[Fiscal Year of EPA Funds Used:]]+Table2[[#This Row],[Remaining Life:]]))</f>
        <v/>
      </c>
      <c r="AJ199" s="165"/>
      <c r="AK199" s="170" t="str">
        <f>IF(Table2[[#This Row],[Counter Number]]="","",Application!$D$14+1)</f>
        <v/>
      </c>
      <c r="AL199" s="60" t="str">
        <f>IF(Table2[[#This Row],[Counter Number]]="","","Vehicle Replacement")</f>
        <v/>
      </c>
      <c r="AM19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9" s="171" t="str">
        <f>IF(Table2[[#This Row],[Counter Number]]="","",Table1[[#This Row],[Cost of New Bus:]])</f>
        <v/>
      </c>
      <c r="AO199" s="60" t="str">
        <f>IF(Table2[[#This Row],[Counter Number]]="","","NA")</f>
        <v/>
      </c>
      <c r="AP199" s="165" t="str">
        <f>IF(Table2[[#This Row],[Counter Number]]="","",Table1[[#This Row],[New Engine Model Year:]])</f>
        <v/>
      </c>
      <c r="AQ199" s="60" t="str">
        <f>IF(Table2[[#This Row],[Counter Number]]="","","NA")</f>
        <v/>
      </c>
      <c r="AR199" s="165" t="str">
        <f>IF(Table2[[#This Row],[Counter Number]]="","",Table1[[#This Row],[New Engine Horsepower (HP):]])</f>
        <v/>
      </c>
      <c r="AS199" s="60" t="str">
        <f>IF(Table2[[#This Row],[Counter Number]]="","","NA")</f>
        <v/>
      </c>
      <c r="AT199" s="165" t="str">
        <f>IF(Table2[[#This Row],[Counter Number]]="","",Table1[[#This Row],[New Engine Cylinder Displacement (L):]]&amp;" L")</f>
        <v/>
      </c>
      <c r="AU199" s="114" t="str">
        <f>IF(Table2[[#This Row],[Counter Number]]="","",Table1[[#This Row],[New Engine Number of Cylinders:]])</f>
        <v/>
      </c>
      <c r="AV199" s="60" t="str">
        <f>IF(Table2[[#This Row],[Counter Number]]="","",Table1[[#This Row],[New Engine Family Name:]])</f>
        <v/>
      </c>
      <c r="AW19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9" s="60" t="str">
        <f>IF(Table2[[#This Row],[Counter Number]]="","","NA")</f>
        <v/>
      </c>
      <c r="AY199" s="172" t="str">
        <f>IF(Table2[[#This Row],[Counter Number]]="","",IF(Table2[[#This Row],[New Engine Fuel Type:]]="ULSD",Table1[[#This Row],[Annual Miles Traveled]]/Table1[[#This Row],[New Fuel (mpg) if Diesel]],""))</f>
        <v/>
      </c>
      <c r="AZ199" s="60"/>
      <c r="BA199" s="173" t="str">
        <f>IF(Table2[[#This Row],[Counter Number]]="","",Table2[[#This Row],[Annual Miles Traveled:]]*VLOOKUP(Table2[[#This Row],[Engine Model Year:]],EFTable[],3,FALSE))</f>
        <v/>
      </c>
      <c r="BB199" s="173" t="str">
        <f>IF(Table2[[#This Row],[Counter Number]]="","",Table2[[#This Row],[Annual Miles Traveled:]]*IF(Table2[[#This Row],[New Engine Fuel Type:]]="ULSD",VLOOKUP(Table2[[#This Row],[New Engine Model Year:]],EFTable[],3,FALSE),VLOOKUP(Table2[[#This Row],[New Engine Fuel Type:]],EFTable[],3,FALSE)))</f>
        <v/>
      </c>
      <c r="BC199" s="187" t="str">
        <f>IF(Table2[[#This Row],[Counter Number]]="","",Table2[[#This Row],[Old Bus NOx Emissions (tons/yr)]]-Table2[[#This Row],[New Bus NOx Emissions (tons/yr)]])</f>
        <v/>
      </c>
      <c r="BD199" s="188" t="str">
        <f>IF(Table2[[#This Row],[Counter Number]]="","",Table2[[#This Row],[Reduction Bus NOx Emissions (tons/yr)]]/Table2[[#This Row],[Old Bus NOx Emissions (tons/yr)]])</f>
        <v/>
      </c>
      <c r="BE199" s="175" t="str">
        <f>IF(Table2[[#This Row],[Counter Number]]="","",Table2[[#This Row],[Reduction Bus NOx Emissions (tons/yr)]]*Table2[[#This Row],[Remaining Life:]])</f>
        <v/>
      </c>
      <c r="BF199" s="189" t="str">
        <f>IF(Table2[[#This Row],[Counter Number]]="","",IF(Table2[[#This Row],[Lifetime NOx Reduction (tons)]]=0,"NA",Table2[[#This Row],[Upgrade Cost Per Unit]]/Table2[[#This Row],[Lifetime NOx Reduction (tons)]]))</f>
        <v/>
      </c>
      <c r="BG199" s="190" t="str">
        <f>IF(Table2[[#This Row],[Counter Number]]="","",Table2[[#This Row],[Annual Miles Traveled:]]*VLOOKUP(Table2[[#This Row],[Engine Model Year:]],EF!$A$2:$G$27,4,FALSE))</f>
        <v/>
      </c>
      <c r="BH199" s="173" t="str">
        <f>IF(Table2[[#This Row],[Counter Number]]="","",Table2[[#This Row],[Annual Miles Traveled:]]*IF(Table2[[#This Row],[New Engine Fuel Type:]]="ULSD",VLOOKUP(Table2[[#This Row],[New Engine Model Year:]],EFTable[],4,FALSE),VLOOKUP(Table2[[#This Row],[New Engine Fuel Type:]],EFTable[],4,FALSE)))</f>
        <v/>
      </c>
      <c r="BI199" s="191" t="str">
        <f>IF(Table2[[#This Row],[Counter Number]]="","",Table2[[#This Row],[Old Bus PM2.5 Emissions (tons/yr)]]-Table2[[#This Row],[New Bus PM2.5 Emissions (tons/yr)]])</f>
        <v/>
      </c>
      <c r="BJ199" s="192" t="str">
        <f>IF(Table2[[#This Row],[Counter Number]]="","",Table2[[#This Row],[Reduction Bus PM2.5 Emissions (tons/yr)]]/Table2[[#This Row],[Old Bus PM2.5 Emissions (tons/yr)]])</f>
        <v/>
      </c>
      <c r="BK199" s="193" t="str">
        <f>IF(Table2[[#This Row],[Counter Number]]="","",Table2[[#This Row],[Reduction Bus PM2.5 Emissions (tons/yr)]]*Table2[[#This Row],[Remaining Life:]])</f>
        <v/>
      </c>
      <c r="BL199" s="194" t="str">
        <f>IF(Table2[[#This Row],[Counter Number]]="","",IF(Table2[[#This Row],[Lifetime PM2.5 Reduction (tons)]]=0,"NA",Table2[[#This Row],[Upgrade Cost Per Unit]]/Table2[[#This Row],[Lifetime PM2.5 Reduction (tons)]]))</f>
        <v/>
      </c>
      <c r="BM199" s="179" t="str">
        <f>IF(Table2[[#This Row],[Counter Number]]="","",Table2[[#This Row],[Annual Miles Traveled:]]*VLOOKUP(Table2[[#This Row],[Engine Model Year:]],EF!$A$2:$G$40,5,FALSE))</f>
        <v/>
      </c>
      <c r="BN199" s="173" t="str">
        <f>IF(Table2[[#This Row],[Counter Number]]="","",Table2[[#This Row],[Annual Miles Traveled:]]*IF(Table2[[#This Row],[New Engine Fuel Type:]]="ULSD",VLOOKUP(Table2[[#This Row],[New Engine Model Year:]],EFTable[],5,FALSE),VLOOKUP(Table2[[#This Row],[New Engine Fuel Type:]],EFTable[],5,FALSE)))</f>
        <v/>
      </c>
      <c r="BO199" s="190" t="str">
        <f>IF(Table2[[#This Row],[Counter Number]]="","",Table2[[#This Row],[Old Bus HC Emissions (tons/yr)]]-Table2[[#This Row],[New Bus HC Emissions (tons/yr)]])</f>
        <v/>
      </c>
      <c r="BP199" s="188" t="str">
        <f>IF(Table2[[#This Row],[Counter Number]]="","",Table2[[#This Row],[Reduction Bus HC Emissions (tons/yr)]]/Table2[[#This Row],[Old Bus HC Emissions (tons/yr)]])</f>
        <v/>
      </c>
      <c r="BQ199" s="193" t="str">
        <f>IF(Table2[[#This Row],[Counter Number]]="","",Table2[[#This Row],[Reduction Bus HC Emissions (tons/yr)]]*Table2[[#This Row],[Remaining Life:]])</f>
        <v/>
      </c>
      <c r="BR199" s="194" t="str">
        <f>IF(Table2[[#This Row],[Counter Number]]="","",IF(Table2[[#This Row],[Lifetime HC Reduction (tons)]]=0,"NA",Table2[[#This Row],[Upgrade Cost Per Unit]]/Table2[[#This Row],[Lifetime HC Reduction (tons)]]))</f>
        <v/>
      </c>
      <c r="BS199" s="191" t="str">
        <f>IF(Table2[[#This Row],[Counter Number]]="","",Table2[[#This Row],[Annual Miles Traveled:]]*VLOOKUP(Table2[[#This Row],[Engine Model Year:]],EF!$A$2:$G$27,6,FALSE))</f>
        <v/>
      </c>
      <c r="BT199" s="173" t="str">
        <f>IF(Table2[[#This Row],[Counter Number]]="","",Table2[[#This Row],[Annual Miles Traveled:]]*IF(Table2[[#This Row],[New Engine Fuel Type:]]="ULSD",VLOOKUP(Table2[[#This Row],[New Engine Model Year:]],EFTable[],6,FALSE),VLOOKUP(Table2[[#This Row],[New Engine Fuel Type:]],EFTable[],6,FALSE)))</f>
        <v/>
      </c>
      <c r="BU199" s="190" t="str">
        <f>IF(Table2[[#This Row],[Counter Number]]="","",Table2[[#This Row],[Old Bus CO Emissions (tons/yr)]]-Table2[[#This Row],[New Bus CO Emissions (tons/yr)]])</f>
        <v/>
      </c>
      <c r="BV199" s="188" t="str">
        <f>IF(Table2[[#This Row],[Counter Number]]="","",Table2[[#This Row],[Reduction Bus CO Emissions (tons/yr)]]/Table2[[#This Row],[Old Bus CO Emissions (tons/yr)]])</f>
        <v/>
      </c>
      <c r="BW199" s="193" t="str">
        <f>IF(Table2[[#This Row],[Counter Number]]="","",Table2[[#This Row],[Reduction Bus CO Emissions (tons/yr)]]*Table2[[#This Row],[Remaining Life:]])</f>
        <v/>
      </c>
      <c r="BX199" s="194" t="str">
        <f>IF(Table2[[#This Row],[Counter Number]]="","",IF(Table2[[#This Row],[Lifetime CO Reduction (tons)]]=0,"NA",Table2[[#This Row],[Upgrade Cost Per Unit]]/Table2[[#This Row],[Lifetime CO Reduction (tons)]]))</f>
        <v/>
      </c>
      <c r="BY199" s="180" t="str">
        <f>IF(Table2[[#This Row],[Counter Number]]="","",Table2[[#This Row],[Old ULSD Used (gal):]]*VLOOKUP(Table2[[#This Row],[Engine Model Year:]],EF!$A$2:$G$27,7,FALSE))</f>
        <v/>
      </c>
      <c r="BZ19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9" s="195" t="str">
        <f>IF(Table2[[#This Row],[Counter Number]]="","",Table2[[#This Row],[Old Bus CO2 Emissions (tons/yr)]]-Table2[[#This Row],[New Bus CO2 Emissions (tons/yr)]])</f>
        <v/>
      </c>
      <c r="CB199" s="188" t="str">
        <f>IF(Table2[[#This Row],[Counter Number]]="","",Table2[[#This Row],[Reduction Bus CO2 Emissions (tons/yr)]]/Table2[[#This Row],[Old Bus CO2 Emissions (tons/yr)]])</f>
        <v/>
      </c>
      <c r="CC199" s="195" t="str">
        <f>IF(Table2[[#This Row],[Counter Number]]="","",Table2[[#This Row],[Reduction Bus CO2 Emissions (tons/yr)]]*Table2[[#This Row],[Remaining Life:]])</f>
        <v/>
      </c>
      <c r="CD199" s="194" t="str">
        <f>IF(Table2[[#This Row],[Counter Number]]="","",IF(Table2[[#This Row],[Lifetime CO2 Reduction (tons)]]=0,"NA",Table2[[#This Row],[Upgrade Cost Per Unit]]/Table2[[#This Row],[Lifetime CO2 Reduction (tons)]]))</f>
        <v/>
      </c>
      <c r="CE199" s="182" t="str">
        <f>IF(Table2[[#This Row],[Counter Number]]="","",IF(Table2[[#This Row],[New ULSD Used (gal):]]="",Table2[[#This Row],[Old ULSD Used (gal):]],Table2[[#This Row],[Old ULSD Used (gal):]]-Table2[[#This Row],[New ULSD Used (gal):]]))</f>
        <v/>
      </c>
      <c r="CF199" s="196" t="str">
        <f>IF(Table2[[#This Row],[Counter Number]]="","",Table2[[#This Row],[Diesel Fuel Reduction (gal/yr)]]/Table2[[#This Row],[Old ULSD Used (gal):]])</f>
        <v/>
      </c>
      <c r="CG199" s="197" t="str">
        <f>IF(Table2[[#This Row],[Counter Number]]="","",Table2[[#This Row],[Diesel Fuel Reduction (gal/yr)]]*Table2[[#This Row],[Remaining Life:]])</f>
        <v/>
      </c>
    </row>
    <row r="200" spans="1:85">
      <c r="A200" s="184" t="str">
        <f>IF(A175&lt;Application!$D$24,A175+1,"")</f>
        <v/>
      </c>
      <c r="B200" s="60" t="str">
        <f>IF(Table2[[#This Row],[Counter Number]]="","",Application!$D$16)</f>
        <v/>
      </c>
      <c r="C200" s="60" t="str">
        <f>IF(Table2[[#This Row],[Counter Number]]="","",Application!$D$14)</f>
        <v/>
      </c>
      <c r="D200" s="60" t="str">
        <f>IF(Table2[[#This Row],[Counter Number]]="","",Table1[[#This Row],[Old Bus Number]])</f>
        <v/>
      </c>
      <c r="E200" s="60" t="str">
        <f>IF(Table2[[#This Row],[Counter Number]]="","",Application!$D$15)</f>
        <v/>
      </c>
      <c r="F200" s="60" t="str">
        <f>IF(Table2[[#This Row],[Counter Number]]="","","On Highway")</f>
        <v/>
      </c>
      <c r="G200" s="60" t="str">
        <f>IF(Table2[[#This Row],[Counter Number]]="","",I200)</f>
        <v/>
      </c>
      <c r="H200" s="60" t="str">
        <f>IF(Table2[[#This Row],[Counter Number]]="","","Georgia")</f>
        <v/>
      </c>
      <c r="I200" s="60" t="str">
        <f>IF(Table2[[#This Row],[Counter Number]]="","",Application!$D$16)</f>
        <v/>
      </c>
      <c r="J200" s="60" t="str">
        <f>IF(Table2[[#This Row],[Counter Number]]="","",Application!$D$21)</f>
        <v/>
      </c>
      <c r="K200" s="60" t="str">
        <f>IF(Table2[[#This Row],[Counter Number]]="","",Application!$J$21)</f>
        <v/>
      </c>
      <c r="L200" s="60" t="str">
        <f>IF(Table2[[#This Row],[Counter Number]]="","","School Bus")</f>
        <v/>
      </c>
      <c r="M200" s="60" t="str">
        <f>IF(Table2[[#This Row],[Counter Number]]="","","School Bus")</f>
        <v/>
      </c>
      <c r="N200" s="60" t="str">
        <f>IF(Table2[[#This Row],[Counter Number]]="","",1)</f>
        <v/>
      </c>
      <c r="O200" s="60" t="str">
        <f>IF(Table2[[#This Row],[Counter Number]]="","",Table1[[#This Row],[Vehicle Identification Number(s):]])</f>
        <v/>
      </c>
      <c r="P200" s="60" t="str">
        <f>IF(Table2[[#This Row],[Counter Number]]="","",Table1[[#This Row],[Old Bus Manufacturer:]])</f>
        <v/>
      </c>
      <c r="Q200" s="60" t="str">
        <f>IF(Table2[[#This Row],[Counter Number]]="","",Table1[[#This Row],[Vehicle Model:]])</f>
        <v/>
      </c>
      <c r="R200" s="165" t="str">
        <f>IF(Table2[[#This Row],[Counter Number]]="","",Table1[[#This Row],[Vehicle Model Year:]])</f>
        <v/>
      </c>
      <c r="S200" s="60" t="str">
        <f>IF(Table2[[#This Row],[Counter Number]]="","",Table1[[#This Row],[Engine Serial Number(s):]])</f>
        <v/>
      </c>
      <c r="T200" s="60" t="str">
        <f>IF(Table2[[#This Row],[Counter Number]]="","",Table1[[#This Row],[Engine Make:]])</f>
        <v/>
      </c>
      <c r="U200" s="60" t="str">
        <f>IF(Table2[[#This Row],[Counter Number]]="","",Table1[[#This Row],[Engine Model:]])</f>
        <v/>
      </c>
      <c r="V200" s="165" t="str">
        <f>IF(Table2[[#This Row],[Counter Number]]="","",Table1[[#This Row],[Engine Model Year:]])</f>
        <v/>
      </c>
      <c r="W200" s="60" t="str">
        <f>IF(Table2[[#This Row],[Counter Number]]="","","NA")</f>
        <v/>
      </c>
      <c r="X200" s="165" t="str">
        <f>IF(Table2[[#This Row],[Counter Number]]="","",Table1[[#This Row],[Engine Horsepower (HP):]])</f>
        <v/>
      </c>
      <c r="Y200" s="165" t="str">
        <f>IF(Table2[[#This Row],[Counter Number]]="","",Table1[[#This Row],[Engine Cylinder Displacement (L):]]&amp;" L")</f>
        <v/>
      </c>
      <c r="Z200" s="165" t="str">
        <f>IF(Table2[[#This Row],[Counter Number]]="","",Table1[[#This Row],[Engine Number of Cylinders:]])</f>
        <v/>
      </c>
      <c r="AA200" s="166" t="str">
        <f>IF(Table2[[#This Row],[Counter Number]]="","",Table1[[#This Row],[Engine Family Name:]])</f>
        <v/>
      </c>
      <c r="AB200" s="60" t="str">
        <f>IF(Table2[[#This Row],[Counter Number]]="","","ULSD")</f>
        <v/>
      </c>
      <c r="AC200" s="167" t="str">
        <f>IF(Table2[[#This Row],[Counter Number]]="","",Table2[[#This Row],[Annual Miles Traveled:]]/Table1[[#This Row],[Old Fuel (mpg)]])</f>
        <v/>
      </c>
      <c r="AD200" s="60" t="str">
        <f>IF(Table2[[#This Row],[Counter Number]]="","","NA")</f>
        <v/>
      </c>
      <c r="AE200" s="168" t="str">
        <f>IF(Table2[[#This Row],[Counter Number]]="","",Table1[[#This Row],[Annual Miles Traveled]])</f>
        <v/>
      </c>
      <c r="AF200" s="169" t="str">
        <f>IF(Table2[[#This Row],[Counter Number]]="","",Table1[[#This Row],[Annual Idling Hours:]])</f>
        <v/>
      </c>
      <c r="AG200" s="60" t="str">
        <f>IF(Table2[[#This Row],[Counter Number]]="","","NA")</f>
        <v/>
      </c>
      <c r="AH200" s="165" t="str">
        <f>IF(Table2[[#This Row],[Counter Number]]="","",IF(Application!$J$25="Set Policy",Table1[[#This Row],[Remaining Life (years)         Set Policy]],Table1[[#This Row],[Remaining Life (years)               Case-by-Case]]))</f>
        <v/>
      </c>
      <c r="AI200" s="165" t="str">
        <f>IF(Table2[[#This Row],[Counter Number]]="","",IF(Application!$J$25="Case-by-Case","NA",Table2[[#This Row],[Fiscal Year of EPA Funds Used:]]+Table2[[#This Row],[Remaining Life:]]))</f>
        <v/>
      </c>
      <c r="AJ200" s="165"/>
      <c r="AK200" s="170" t="str">
        <f>IF(Table2[[#This Row],[Counter Number]]="","",Application!$D$14+1)</f>
        <v/>
      </c>
      <c r="AL200" s="60" t="str">
        <f>IF(Table2[[#This Row],[Counter Number]]="","","Vehicle Replacement")</f>
        <v/>
      </c>
      <c r="AM20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0" s="171" t="str">
        <f>IF(Table2[[#This Row],[Counter Number]]="","",Table1[[#This Row],[Cost of New Bus:]])</f>
        <v/>
      </c>
      <c r="AO200" s="60" t="str">
        <f>IF(Table2[[#This Row],[Counter Number]]="","","NA")</f>
        <v/>
      </c>
      <c r="AP200" s="165" t="str">
        <f>IF(Table2[[#This Row],[Counter Number]]="","",Table1[[#This Row],[New Engine Model Year:]])</f>
        <v/>
      </c>
      <c r="AQ200" s="60" t="str">
        <f>IF(Table2[[#This Row],[Counter Number]]="","","NA")</f>
        <v/>
      </c>
      <c r="AR200" s="165" t="str">
        <f>IF(Table2[[#This Row],[Counter Number]]="","",Table1[[#This Row],[New Engine Horsepower (HP):]])</f>
        <v/>
      </c>
      <c r="AS200" s="60" t="str">
        <f>IF(Table2[[#This Row],[Counter Number]]="","","NA")</f>
        <v/>
      </c>
      <c r="AT200" s="165" t="str">
        <f>IF(Table2[[#This Row],[Counter Number]]="","",Table1[[#This Row],[New Engine Cylinder Displacement (L):]]&amp;" L")</f>
        <v/>
      </c>
      <c r="AU200" s="114" t="str">
        <f>IF(Table2[[#This Row],[Counter Number]]="","",Table1[[#This Row],[New Engine Number of Cylinders:]])</f>
        <v/>
      </c>
      <c r="AV200" s="60" t="str">
        <f>IF(Table2[[#This Row],[Counter Number]]="","",Table1[[#This Row],[New Engine Family Name:]])</f>
        <v/>
      </c>
      <c r="AW20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0" s="60" t="str">
        <f>IF(Table2[[#This Row],[Counter Number]]="","","NA")</f>
        <v/>
      </c>
      <c r="AY200" s="172" t="str">
        <f>IF(Table2[[#This Row],[Counter Number]]="","",IF(Table2[[#This Row],[New Engine Fuel Type:]]="ULSD",Table1[[#This Row],[Annual Miles Traveled]]/Table1[[#This Row],[New Fuel (mpg) if Diesel]],""))</f>
        <v/>
      </c>
      <c r="AZ200" s="60"/>
      <c r="BA200" s="173" t="str">
        <f>IF(Table2[[#This Row],[Counter Number]]="","",Table2[[#This Row],[Annual Miles Traveled:]]*VLOOKUP(Table2[[#This Row],[Engine Model Year:]],EFTable[],3,FALSE))</f>
        <v/>
      </c>
      <c r="BB200" s="173" t="str">
        <f>IF(Table2[[#This Row],[Counter Number]]="","",Table2[[#This Row],[Annual Miles Traveled:]]*IF(Table2[[#This Row],[New Engine Fuel Type:]]="ULSD",VLOOKUP(Table2[[#This Row],[New Engine Model Year:]],EFTable[],3,FALSE),VLOOKUP(Table2[[#This Row],[New Engine Fuel Type:]],EFTable[],3,FALSE)))</f>
        <v/>
      </c>
      <c r="BC200" s="187" t="str">
        <f>IF(Table2[[#This Row],[Counter Number]]="","",Table2[[#This Row],[Old Bus NOx Emissions (tons/yr)]]-Table2[[#This Row],[New Bus NOx Emissions (tons/yr)]])</f>
        <v/>
      </c>
      <c r="BD200" s="188" t="str">
        <f>IF(Table2[[#This Row],[Counter Number]]="","",Table2[[#This Row],[Reduction Bus NOx Emissions (tons/yr)]]/Table2[[#This Row],[Old Bus NOx Emissions (tons/yr)]])</f>
        <v/>
      </c>
      <c r="BE200" s="175" t="str">
        <f>IF(Table2[[#This Row],[Counter Number]]="","",Table2[[#This Row],[Reduction Bus NOx Emissions (tons/yr)]]*Table2[[#This Row],[Remaining Life:]])</f>
        <v/>
      </c>
      <c r="BF200" s="189" t="str">
        <f>IF(Table2[[#This Row],[Counter Number]]="","",IF(Table2[[#This Row],[Lifetime NOx Reduction (tons)]]=0,"NA",Table2[[#This Row],[Upgrade Cost Per Unit]]/Table2[[#This Row],[Lifetime NOx Reduction (tons)]]))</f>
        <v/>
      </c>
      <c r="BG200" s="190" t="str">
        <f>IF(Table2[[#This Row],[Counter Number]]="","",Table2[[#This Row],[Annual Miles Traveled:]]*VLOOKUP(Table2[[#This Row],[Engine Model Year:]],EF!$A$2:$G$27,4,FALSE))</f>
        <v/>
      </c>
      <c r="BH200" s="173" t="str">
        <f>IF(Table2[[#This Row],[Counter Number]]="","",Table2[[#This Row],[Annual Miles Traveled:]]*IF(Table2[[#This Row],[New Engine Fuel Type:]]="ULSD",VLOOKUP(Table2[[#This Row],[New Engine Model Year:]],EFTable[],4,FALSE),VLOOKUP(Table2[[#This Row],[New Engine Fuel Type:]],EFTable[],4,FALSE)))</f>
        <v/>
      </c>
      <c r="BI200" s="191" t="str">
        <f>IF(Table2[[#This Row],[Counter Number]]="","",Table2[[#This Row],[Old Bus PM2.5 Emissions (tons/yr)]]-Table2[[#This Row],[New Bus PM2.5 Emissions (tons/yr)]])</f>
        <v/>
      </c>
      <c r="BJ200" s="192" t="str">
        <f>IF(Table2[[#This Row],[Counter Number]]="","",Table2[[#This Row],[Reduction Bus PM2.5 Emissions (tons/yr)]]/Table2[[#This Row],[Old Bus PM2.5 Emissions (tons/yr)]])</f>
        <v/>
      </c>
      <c r="BK200" s="193" t="str">
        <f>IF(Table2[[#This Row],[Counter Number]]="","",Table2[[#This Row],[Reduction Bus PM2.5 Emissions (tons/yr)]]*Table2[[#This Row],[Remaining Life:]])</f>
        <v/>
      </c>
      <c r="BL200" s="194" t="str">
        <f>IF(Table2[[#This Row],[Counter Number]]="","",IF(Table2[[#This Row],[Lifetime PM2.5 Reduction (tons)]]=0,"NA",Table2[[#This Row],[Upgrade Cost Per Unit]]/Table2[[#This Row],[Lifetime PM2.5 Reduction (tons)]]))</f>
        <v/>
      </c>
      <c r="BM200" s="179" t="str">
        <f>IF(Table2[[#This Row],[Counter Number]]="","",Table2[[#This Row],[Annual Miles Traveled:]]*VLOOKUP(Table2[[#This Row],[Engine Model Year:]],EF!$A$2:$G$40,5,FALSE))</f>
        <v/>
      </c>
      <c r="BN200" s="173" t="str">
        <f>IF(Table2[[#This Row],[Counter Number]]="","",Table2[[#This Row],[Annual Miles Traveled:]]*IF(Table2[[#This Row],[New Engine Fuel Type:]]="ULSD",VLOOKUP(Table2[[#This Row],[New Engine Model Year:]],EFTable[],5,FALSE),VLOOKUP(Table2[[#This Row],[New Engine Fuel Type:]],EFTable[],5,FALSE)))</f>
        <v/>
      </c>
      <c r="BO200" s="190" t="str">
        <f>IF(Table2[[#This Row],[Counter Number]]="","",Table2[[#This Row],[Old Bus HC Emissions (tons/yr)]]-Table2[[#This Row],[New Bus HC Emissions (tons/yr)]])</f>
        <v/>
      </c>
      <c r="BP200" s="188" t="str">
        <f>IF(Table2[[#This Row],[Counter Number]]="","",Table2[[#This Row],[Reduction Bus HC Emissions (tons/yr)]]/Table2[[#This Row],[Old Bus HC Emissions (tons/yr)]])</f>
        <v/>
      </c>
      <c r="BQ200" s="193" t="str">
        <f>IF(Table2[[#This Row],[Counter Number]]="","",Table2[[#This Row],[Reduction Bus HC Emissions (tons/yr)]]*Table2[[#This Row],[Remaining Life:]])</f>
        <v/>
      </c>
      <c r="BR200" s="194" t="str">
        <f>IF(Table2[[#This Row],[Counter Number]]="","",IF(Table2[[#This Row],[Lifetime HC Reduction (tons)]]=0,"NA",Table2[[#This Row],[Upgrade Cost Per Unit]]/Table2[[#This Row],[Lifetime HC Reduction (tons)]]))</f>
        <v/>
      </c>
      <c r="BS200" s="191" t="str">
        <f>IF(Table2[[#This Row],[Counter Number]]="","",Table2[[#This Row],[Annual Miles Traveled:]]*VLOOKUP(Table2[[#This Row],[Engine Model Year:]],EF!$A$2:$G$27,6,FALSE))</f>
        <v/>
      </c>
      <c r="BT200" s="173" t="str">
        <f>IF(Table2[[#This Row],[Counter Number]]="","",Table2[[#This Row],[Annual Miles Traveled:]]*IF(Table2[[#This Row],[New Engine Fuel Type:]]="ULSD",VLOOKUP(Table2[[#This Row],[New Engine Model Year:]],EFTable[],6,FALSE),VLOOKUP(Table2[[#This Row],[New Engine Fuel Type:]],EFTable[],6,FALSE)))</f>
        <v/>
      </c>
      <c r="BU200" s="190" t="str">
        <f>IF(Table2[[#This Row],[Counter Number]]="","",Table2[[#This Row],[Old Bus CO Emissions (tons/yr)]]-Table2[[#This Row],[New Bus CO Emissions (tons/yr)]])</f>
        <v/>
      </c>
      <c r="BV200" s="188" t="str">
        <f>IF(Table2[[#This Row],[Counter Number]]="","",Table2[[#This Row],[Reduction Bus CO Emissions (tons/yr)]]/Table2[[#This Row],[Old Bus CO Emissions (tons/yr)]])</f>
        <v/>
      </c>
      <c r="BW200" s="193" t="str">
        <f>IF(Table2[[#This Row],[Counter Number]]="","",Table2[[#This Row],[Reduction Bus CO Emissions (tons/yr)]]*Table2[[#This Row],[Remaining Life:]])</f>
        <v/>
      </c>
      <c r="BX200" s="194" t="str">
        <f>IF(Table2[[#This Row],[Counter Number]]="","",IF(Table2[[#This Row],[Lifetime CO Reduction (tons)]]=0,"NA",Table2[[#This Row],[Upgrade Cost Per Unit]]/Table2[[#This Row],[Lifetime CO Reduction (tons)]]))</f>
        <v/>
      </c>
      <c r="BY200" s="180" t="str">
        <f>IF(Table2[[#This Row],[Counter Number]]="","",Table2[[#This Row],[Old ULSD Used (gal):]]*VLOOKUP(Table2[[#This Row],[Engine Model Year:]],EF!$A$2:$G$27,7,FALSE))</f>
        <v/>
      </c>
      <c r="BZ20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0" s="195" t="str">
        <f>IF(Table2[[#This Row],[Counter Number]]="","",Table2[[#This Row],[Old Bus CO2 Emissions (tons/yr)]]-Table2[[#This Row],[New Bus CO2 Emissions (tons/yr)]])</f>
        <v/>
      </c>
      <c r="CB200" s="188" t="str">
        <f>IF(Table2[[#This Row],[Counter Number]]="","",Table2[[#This Row],[Reduction Bus CO2 Emissions (tons/yr)]]/Table2[[#This Row],[Old Bus CO2 Emissions (tons/yr)]])</f>
        <v/>
      </c>
      <c r="CC200" s="195" t="str">
        <f>IF(Table2[[#This Row],[Counter Number]]="","",Table2[[#This Row],[Reduction Bus CO2 Emissions (tons/yr)]]*Table2[[#This Row],[Remaining Life:]])</f>
        <v/>
      </c>
      <c r="CD200" s="194" t="str">
        <f>IF(Table2[[#This Row],[Counter Number]]="","",IF(Table2[[#This Row],[Lifetime CO2 Reduction (tons)]]=0,"NA",Table2[[#This Row],[Upgrade Cost Per Unit]]/Table2[[#This Row],[Lifetime CO2 Reduction (tons)]]))</f>
        <v/>
      </c>
      <c r="CE200" s="182" t="str">
        <f>IF(Table2[[#This Row],[Counter Number]]="","",IF(Table2[[#This Row],[New ULSD Used (gal):]]="",Table2[[#This Row],[Old ULSD Used (gal):]],Table2[[#This Row],[Old ULSD Used (gal):]]-Table2[[#This Row],[New ULSD Used (gal):]]))</f>
        <v/>
      </c>
      <c r="CF200" s="196" t="str">
        <f>IF(Table2[[#This Row],[Counter Number]]="","",Table2[[#This Row],[Diesel Fuel Reduction (gal/yr)]]/Table2[[#This Row],[Old ULSD Used (gal):]])</f>
        <v/>
      </c>
      <c r="CG200" s="197" t="str">
        <f>IF(Table2[[#This Row],[Counter Number]]="","",Table2[[#This Row],[Diesel Fuel Reduction (gal/yr)]]*Table2[[#This Row],[Remaining Life:]])</f>
        <v/>
      </c>
    </row>
    <row r="201" spans="1:85">
      <c r="A201" s="184" t="str">
        <f>IF(A176&lt;Application!$D$24,A176+1,"")</f>
        <v/>
      </c>
      <c r="B201" s="60" t="str">
        <f>IF(Table2[[#This Row],[Counter Number]]="","",Application!$D$16)</f>
        <v/>
      </c>
      <c r="C201" s="60" t="str">
        <f>IF(Table2[[#This Row],[Counter Number]]="","",Application!$D$14)</f>
        <v/>
      </c>
      <c r="D201" s="60" t="str">
        <f>IF(Table2[[#This Row],[Counter Number]]="","",Table1[[#This Row],[Old Bus Number]])</f>
        <v/>
      </c>
      <c r="E201" s="60" t="str">
        <f>IF(Table2[[#This Row],[Counter Number]]="","",Application!$D$15)</f>
        <v/>
      </c>
      <c r="F201" s="60" t="str">
        <f>IF(Table2[[#This Row],[Counter Number]]="","","On Highway")</f>
        <v/>
      </c>
      <c r="G201" s="60" t="str">
        <f>IF(Table2[[#This Row],[Counter Number]]="","",I201)</f>
        <v/>
      </c>
      <c r="H201" s="60" t="str">
        <f>IF(Table2[[#This Row],[Counter Number]]="","","Georgia")</f>
        <v/>
      </c>
      <c r="I201" s="60" t="str">
        <f>IF(Table2[[#This Row],[Counter Number]]="","",Application!$D$16)</f>
        <v/>
      </c>
      <c r="J201" s="60" t="str">
        <f>IF(Table2[[#This Row],[Counter Number]]="","",Application!$D$21)</f>
        <v/>
      </c>
      <c r="K201" s="60" t="str">
        <f>IF(Table2[[#This Row],[Counter Number]]="","",Application!$J$21)</f>
        <v/>
      </c>
      <c r="L201" s="60" t="str">
        <f>IF(Table2[[#This Row],[Counter Number]]="","","School Bus")</f>
        <v/>
      </c>
      <c r="M201" s="60" t="str">
        <f>IF(Table2[[#This Row],[Counter Number]]="","","School Bus")</f>
        <v/>
      </c>
      <c r="N201" s="60" t="str">
        <f>IF(Table2[[#This Row],[Counter Number]]="","",1)</f>
        <v/>
      </c>
      <c r="O201" s="60" t="str">
        <f>IF(Table2[[#This Row],[Counter Number]]="","",Table1[[#This Row],[Vehicle Identification Number(s):]])</f>
        <v/>
      </c>
      <c r="P201" s="60" t="str">
        <f>IF(Table2[[#This Row],[Counter Number]]="","",Table1[[#This Row],[Old Bus Manufacturer:]])</f>
        <v/>
      </c>
      <c r="Q201" s="60" t="str">
        <f>IF(Table2[[#This Row],[Counter Number]]="","",Table1[[#This Row],[Vehicle Model:]])</f>
        <v/>
      </c>
      <c r="R201" s="165" t="str">
        <f>IF(Table2[[#This Row],[Counter Number]]="","",Table1[[#This Row],[Vehicle Model Year:]])</f>
        <v/>
      </c>
      <c r="S201" s="60" t="str">
        <f>IF(Table2[[#This Row],[Counter Number]]="","",Table1[[#This Row],[Engine Serial Number(s):]])</f>
        <v/>
      </c>
      <c r="T201" s="60" t="str">
        <f>IF(Table2[[#This Row],[Counter Number]]="","",Table1[[#This Row],[Engine Make:]])</f>
        <v/>
      </c>
      <c r="U201" s="60" t="str">
        <f>IF(Table2[[#This Row],[Counter Number]]="","",Table1[[#This Row],[Engine Model:]])</f>
        <v/>
      </c>
      <c r="V201" s="165" t="str">
        <f>IF(Table2[[#This Row],[Counter Number]]="","",Table1[[#This Row],[Engine Model Year:]])</f>
        <v/>
      </c>
      <c r="W201" s="60" t="str">
        <f>IF(Table2[[#This Row],[Counter Number]]="","","NA")</f>
        <v/>
      </c>
      <c r="X201" s="165" t="str">
        <f>IF(Table2[[#This Row],[Counter Number]]="","",Table1[[#This Row],[Engine Horsepower (HP):]])</f>
        <v/>
      </c>
      <c r="Y201" s="165" t="str">
        <f>IF(Table2[[#This Row],[Counter Number]]="","",Table1[[#This Row],[Engine Cylinder Displacement (L):]]&amp;" L")</f>
        <v/>
      </c>
      <c r="Z201" s="165" t="str">
        <f>IF(Table2[[#This Row],[Counter Number]]="","",Table1[[#This Row],[Engine Number of Cylinders:]])</f>
        <v/>
      </c>
      <c r="AA201" s="166" t="str">
        <f>IF(Table2[[#This Row],[Counter Number]]="","",Table1[[#This Row],[Engine Family Name:]])</f>
        <v/>
      </c>
      <c r="AB201" s="60" t="str">
        <f>IF(Table2[[#This Row],[Counter Number]]="","","ULSD")</f>
        <v/>
      </c>
      <c r="AC201" s="167" t="str">
        <f>IF(Table2[[#This Row],[Counter Number]]="","",Table2[[#This Row],[Annual Miles Traveled:]]/Table1[[#This Row],[Old Fuel (mpg)]])</f>
        <v/>
      </c>
      <c r="AD201" s="60" t="str">
        <f>IF(Table2[[#This Row],[Counter Number]]="","","NA")</f>
        <v/>
      </c>
      <c r="AE201" s="168" t="str">
        <f>IF(Table2[[#This Row],[Counter Number]]="","",Table1[[#This Row],[Annual Miles Traveled]])</f>
        <v/>
      </c>
      <c r="AF201" s="169" t="str">
        <f>IF(Table2[[#This Row],[Counter Number]]="","",Table1[[#This Row],[Annual Idling Hours:]])</f>
        <v/>
      </c>
      <c r="AG201" s="60" t="str">
        <f>IF(Table2[[#This Row],[Counter Number]]="","","NA")</f>
        <v/>
      </c>
      <c r="AH201" s="165" t="str">
        <f>IF(Table2[[#This Row],[Counter Number]]="","",IF(Application!$J$25="Set Policy",Table1[[#This Row],[Remaining Life (years)         Set Policy]],Table1[[#This Row],[Remaining Life (years)               Case-by-Case]]))</f>
        <v/>
      </c>
      <c r="AI201" s="165" t="str">
        <f>IF(Table2[[#This Row],[Counter Number]]="","",IF(Application!$J$25="Case-by-Case","NA",Table2[[#This Row],[Fiscal Year of EPA Funds Used:]]+Table2[[#This Row],[Remaining Life:]]))</f>
        <v/>
      </c>
      <c r="AJ201" s="165"/>
      <c r="AK201" s="170" t="str">
        <f>IF(Table2[[#This Row],[Counter Number]]="","",Application!$D$14+1)</f>
        <v/>
      </c>
      <c r="AL201" s="60" t="str">
        <f>IF(Table2[[#This Row],[Counter Number]]="","","Vehicle Replacement")</f>
        <v/>
      </c>
      <c r="AM20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1" s="171" t="str">
        <f>IF(Table2[[#This Row],[Counter Number]]="","",Table1[[#This Row],[Cost of New Bus:]])</f>
        <v/>
      </c>
      <c r="AO201" s="60" t="str">
        <f>IF(Table2[[#This Row],[Counter Number]]="","","NA")</f>
        <v/>
      </c>
      <c r="AP201" s="165" t="str">
        <f>IF(Table2[[#This Row],[Counter Number]]="","",Table1[[#This Row],[New Engine Model Year:]])</f>
        <v/>
      </c>
      <c r="AQ201" s="60" t="str">
        <f>IF(Table2[[#This Row],[Counter Number]]="","","NA")</f>
        <v/>
      </c>
      <c r="AR201" s="165" t="str">
        <f>IF(Table2[[#This Row],[Counter Number]]="","",Table1[[#This Row],[New Engine Horsepower (HP):]])</f>
        <v/>
      </c>
      <c r="AS201" s="60" t="str">
        <f>IF(Table2[[#This Row],[Counter Number]]="","","NA")</f>
        <v/>
      </c>
      <c r="AT201" s="165" t="str">
        <f>IF(Table2[[#This Row],[Counter Number]]="","",Table1[[#This Row],[New Engine Cylinder Displacement (L):]]&amp;" L")</f>
        <v/>
      </c>
      <c r="AU201" s="114" t="str">
        <f>IF(Table2[[#This Row],[Counter Number]]="","",Table1[[#This Row],[New Engine Number of Cylinders:]])</f>
        <v/>
      </c>
      <c r="AV201" s="60" t="str">
        <f>IF(Table2[[#This Row],[Counter Number]]="","",Table1[[#This Row],[New Engine Family Name:]])</f>
        <v/>
      </c>
      <c r="AW20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1" s="60" t="str">
        <f>IF(Table2[[#This Row],[Counter Number]]="","","NA")</f>
        <v/>
      </c>
      <c r="AY201" s="172" t="str">
        <f>IF(Table2[[#This Row],[Counter Number]]="","",IF(Table2[[#This Row],[New Engine Fuel Type:]]="ULSD",Table1[[#This Row],[Annual Miles Traveled]]/Table1[[#This Row],[New Fuel (mpg) if Diesel]],""))</f>
        <v/>
      </c>
      <c r="AZ201" s="60"/>
      <c r="BA201" s="173" t="str">
        <f>IF(Table2[[#This Row],[Counter Number]]="","",Table2[[#This Row],[Annual Miles Traveled:]]*VLOOKUP(Table2[[#This Row],[Engine Model Year:]],EFTable[],3,FALSE))</f>
        <v/>
      </c>
      <c r="BB201" s="173" t="str">
        <f>IF(Table2[[#This Row],[Counter Number]]="","",Table2[[#This Row],[Annual Miles Traveled:]]*IF(Table2[[#This Row],[New Engine Fuel Type:]]="ULSD",VLOOKUP(Table2[[#This Row],[New Engine Model Year:]],EFTable[],3,FALSE),VLOOKUP(Table2[[#This Row],[New Engine Fuel Type:]],EFTable[],3,FALSE)))</f>
        <v/>
      </c>
      <c r="BC201" s="187" t="str">
        <f>IF(Table2[[#This Row],[Counter Number]]="","",Table2[[#This Row],[Old Bus NOx Emissions (tons/yr)]]-Table2[[#This Row],[New Bus NOx Emissions (tons/yr)]])</f>
        <v/>
      </c>
      <c r="BD201" s="188" t="str">
        <f>IF(Table2[[#This Row],[Counter Number]]="","",Table2[[#This Row],[Reduction Bus NOx Emissions (tons/yr)]]/Table2[[#This Row],[Old Bus NOx Emissions (tons/yr)]])</f>
        <v/>
      </c>
      <c r="BE201" s="175" t="str">
        <f>IF(Table2[[#This Row],[Counter Number]]="","",Table2[[#This Row],[Reduction Bus NOx Emissions (tons/yr)]]*Table2[[#This Row],[Remaining Life:]])</f>
        <v/>
      </c>
      <c r="BF201" s="189" t="str">
        <f>IF(Table2[[#This Row],[Counter Number]]="","",IF(Table2[[#This Row],[Lifetime NOx Reduction (tons)]]=0,"NA",Table2[[#This Row],[Upgrade Cost Per Unit]]/Table2[[#This Row],[Lifetime NOx Reduction (tons)]]))</f>
        <v/>
      </c>
      <c r="BG201" s="190" t="str">
        <f>IF(Table2[[#This Row],[Counter Number]]="","",Table2[[#This Row],[Annual Miles Traveled:]]*VLOOKUP(Table2[[#This Row],[Engine Model Year:]],EF!$A$2:$G$27,4,FALSE))</f>
        <v/>
      </c>
      <c r="BH201" s="173" t="str">
        <f>IF(Table2[[#This Row],[Counter Number]]="","",Table2[[#This Row],[Annual Miles Traveled:]]*IF(Table2[[#This Row],[New Engine Fuel Type:]]="ULSD",VLOOKUP(Table2[[#This Row],[New Engine Model Year:]],EFTable[],4,FALSE),VLOOKUP(Table2[[#This Row],[New Engine Fuel Type:]],EFTable[],4,FALSE)))</f>
        <v/>
      </c>
      <c r="BI201" s="191" t="str">
        <f>IF(Table2[[#This Row],[Counter Number]]="","",Table2[[#This Row],[Old Bus PM2.5 Emissions (tons/yr)]]-Table2[[#This Row],[New Bus PM2.5 Emissions (tons/yr)]])</f>
        <v/>
      </c>
      <c r="BJ201" s="192" t="str">
        <f>IF(Table2[[#This Row],[Counter Number]]="","",Table2[[#This Row],[Reduction Bus PM2.5 Emissions (tons/yr)]]/Table2[[#This Row],[Old Bus PM2.5 Emissions (tons/yr)]])</f>
        <v/>
      </c>
      <c r="BK201" s="193" t="str">
        <f>IF(Table2[[#This Row],[Counter Number]]="","",Table2[[#This Row],[Reduction Bus PM2.5 Emissions (tons/yr)]]*Table2[[#This Row],[Remaining Life:]])</f>
        <v/>
      </c>
      <c r="BL201" s="194" t="str">
        <f>IF(Table2[[#This Row],[Counter Number]]="","",IF(Table2[[#This Row],[Lifetime PM2.5 Reduction (tons)]]=0,"NA",Table2[[#This Row],[Upgrade Cost Per Unit]]/Table2[[#This Row],[Lifetime PM2.5 Reduction (tons)]]))</f>
        <v/>
      </c>
      <c r="BM201" s="179" t="str">
        <f>IF(Table2[[#This Row],[Counter Number]]="","",Table2[[#This Row],[Annual Miles Traveled:]]*VLOOKUP(Table2[[#This Row],[Engine Model Year:]],EF!$A$2:$G$40,5,FALSE))</f>
        <v/>
      </c>
      <c r="BN201" s="173" t="str">
        <f>IF(Table2[[#This Row],[Counter Number]]="","",Table2[[#This Row],[Annual Miles Traveled:]]*IF(Table2[[#This Row],[New Engine Fuel Type:]]="ULSD",VLOOKUP(Table2[[#This Row],[New Engine Model Year:]],EFTable[],5,FALSE),VLOOKUP(Table2[[#This Row],[New Engine Fuel Type:]],EFTable[],5,FALSE)))</f>
        <v/>
      </c>
      <c r="BO201" s="190" t="str">
        <f>IF(Table2[[#This Row],[Counter Number]]="","",Table2[[#This Row],[Old Bus HC Emissions (tons/yr)]]-Table2[[#This Row],[New Bus HC Emissions (tons/yr)]])</f>
        <v/>
      </c>
      <c r="BP201" s="188" t="str">
        <f>IF(Table2[[#This Row],[Counter Number]]="","",Table2[[#This Row],[Reduction Bus HC Emissions (tons/yr)]]/Table2[[#This Row],[Old Bus HC Emissions (tons/yr)]])</f>
        <v/>
      </c>
      <c r="BQ201" s="193" t="str">
        <f>IF(Table2[[#This Row],[Counter Number]]="","",Table2[[#This Row],[Reduction Bus HC Emissions (tons/yr)]]*Table2[[#This Row],[Remaining Life:]])</f>
        <v/>
      </c>
      <c r="BR201" s="194" t="str">
        <f>IF(Table2[[#This Row],[Counter Number]]="","",IF(Table2[[#This Row],[Lifetime HC Reduction (tons)]]=0,"NA",Table2[[#This Row],[Upgrade Cost Per Unit]]/Table2[[#This Row],[Lifetime HC Reduction (tons)]]))</f>
        <v/>
      </c>
      <c r="BS201" s="191" t="str">
        <f>IF(Table2[[#This Row],[Counter Number]]="","",Table2[[#This Row],[Annual Miles Traveled:]]*VLOOKUP(Table2[[#This Row],[Engine Model Year:]],EF!$A$2:$G$27,6,FALSE))</f>
        <v/>
      </c>
      <c r="BT201" s="173" t="str">
        <f>IF(Table2[[#This Row],[Counter Number]]="","",Table2[[#This Row],[Annual Miles Traveled:]]*IF(Table2[[#This Row],[New Engine Fuel Type:]]="ULSD",VLOOKUP(Table2[[#This Row],[New Engine Model Year:]],EFTable[],6,FALSE),VLOOKUP(Table2[[#This Row],[New Engine Fuel Type:]],EFTable[],6,FALSE)))</f>
        <v/>
      </c>
      <c r="BU201" s="190" t="str">
        <f>IF(Table2[[#This Row],[Counter Number]]="","",Table2[[#This Row],[Old Bus CO Emissions (tons/yr)]]-Table2[[#This Row],[New Bus CO Emissions (tons/yr)]])</f>
        <v/>
      </c>
      <c r="BV201" s="188" t="str">
        <f>IF(Table2[[#This Row],[Counter Number]]="","",Table2[[#This Row],[Reduction Bus CO Emissions (tons/yr)]]/Table2[[#This Row],[Old Bus CO Emissions (tons/yr)]])</f>
        <v/>
      </c>
      <c r="BW201" s="193" t="str">
        <f>IF(Table2[[#This Row],[Counter Number]]="","",Table2[[#This Row],[Reduction Bus CO Emissions (tons/yr)]]*Table2[[#This Row],[Remaining Life:]])</f>
        <v/>
      </c>
      <c r="BX201" s="194" t="str">
        <f>IF(Table2[[#This Row],[Counter Number]]="","",IF(Table2[[#This Row],[Lifetime CO Reduction (tons)]]=0,"NA",Table2[[#This Row],[Upgrade Cost Per Unit]]/Table2[[#This Row],[Lifetime CO Reduction (tons)]]))</f>
        <v/>
      </c>
      <c r="BY201" s="180" t="str">
        <f>IF(Table2[[#This Row],[Counter Number]]="","",Table2[[#This Row],[Old ULSD Used (gal):]]*VLOOKUP(Table2[[#This Row],[Engine Model Year:]],EF!$A$2:$G$27,7,FALSE))</f>
        <v/>
      </c>
      <c r="BZ20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1" s="195" t="str">
        <f>IF(Table2[[#This Row],[Counter Number]]="","",Table2[[#This Row],[Old Bus CO2 Emissions (tons/yr)]]-Table2[[#This Row],[New Bus CO2 Emissions (tons/yr)]])</f>
        <v/>
      </c>
      <c r="CB201" s="188" t="str">
        <f>IF(Table2[[#This Row],[Counter Number]]="","",Table2[[#This Row],[Reduction Bus CO2 Emissions (tons/yr)]]/Table2[[#This Row],[Old Bus CO2 Emissions (tons/yr)]])</f>
        <v/>
      </c>
      <c r="CC201" s="195" t="str">
        <f>IF(Table2[[#This Row],[Counter Number]]="","",Table2[[#This Row],[Reduction Bus CO2 Emissions (tons/yr)]]*Table2[[#This Row],[Remaining Life:]])</f>
        <v/>
      </c>
      <c r="CD201" s="194" t="str">
        <f>IF(Table2[[#This Row],[Counter Number]]="","",IF(Table2[[#This Row],[Lifetime CO2 Reduction (tons)]]=0,"NA",Table2[[#This Row],[Upgrade Cost Per Unit]]/Table2[[#This Row],[Lifetime CO2 Reduction (tons)]]))</f>
        <v/>
      </c>
      <c r="CE201" s="182" t="str">
        <f>IF(Table2[[#This Row],[Counter Number]]="","",IF(Table2[[#This Row],[New ULSD Used (gal):]]="",Table2[[#This Row],[Old ULSD Used (gal):]],Table2[[#This Row],[Old ULSD Used (gal):]]-Table2[[#This Row],[New ULSD Used (gal):]]))</f>
        <v/>
      </c>
      <c r="CF201" s="196" t="str">
        <f>IF(Table2[[#This Row],[Counter Number]]="","",Table2[[#This Row],[Diesel Fuel Reduction (gal/yr)]]/Table2[[#This Row],[Old ULSD Used (gal):]])</f>
        <v/>
      </c>
      <c r="CG201" s="197" t="str">
        <f>IF(Table2[[#This Row],[Counter Number]]="","",Table2[[#This Row],[Diesel Fuel Reduction (gal/yr)]]*Table2[[#This Row],[Remaining Life:]])</f>
        <v/>
      </c>
    </row>
    <row r="202" spans="1:85">
      <c r="A202" s="184" t="str">
        <f>IF(A177&lt;Application!$D$24,A177+1,"")</f>
        <v/>
      </c>
      <c r="B202" s="60" t="str">
        <f>IF(Table2[[#This Row],[Counter Number]]="","",Application!$D$16)</f>
        <v/>
      </c>
      <c r="C202" s="60" t="str">
        <f>IF(Table2[[#This Row],[Counter Number]]="","",Application!$D$14)</f>
        <v/>
      </c>
      <c r="D202" s="60" t="str">
        <f>IF(Table2[[#This Row],[Counter Number]]="","",Table1[[#This Row],[Old Bus Number]])</f>
        <v/>
      </c>
      <c r="E202" s="60" t="str">
        <f>IF(Table2[[#This Row],[Counter Number]]="","",Application!$D$15)</f>
        <v/>
      </c>
      <c r="F202" s="60" t="str">
        <f>IF(Table2[[#This Row],[Counter Number]]="","","On Highway")</f>
        <v/>
      </c>
      <c r="G202" s="60" t="str">
        <f>IF(Table2[[#This Row],[Counter Number]]="","",I202)</f>
        <v/>
      </c>
      <c r="H202" s="60" t="str">
        <f>IF(Table2[[#This Row],[Counter Number]]="","","Georgia")</f>
        <v/>
      </c>
      <c r="I202" s="60" t="str">
        <f>IF(Table2[[#This Row],[Counter Number]]="","",Application!$D$16)</f>
        <v/>
      </c>
      <c r="J202" s="60" t="str">
        <f>IF(Table2[[#This Row],[Counter Number]]="","",Application!$D$21)</f>
        <v/>
      </c>
      <c r="K202" s="60" t="str">
        <f>IF(Table2[[#This Row],[Counter Number]]="","",Application!$J$21)</f>
        <v/>
      </c>
      <c r="L202" s="60" t="str">
        <f>IF(Table2[[#This Row],[Counter Number]]="","","School Bus")</f>
        <v/>
      </c>
      <c r="M202" s="60" t="str">
        <f>IF(Table2[[#This Row],[Counter Number]]="","","School Bus")</f>
        <v/>
      </c>
      <c r="N202" s="60" t="str">
        <f>IF(Table2[[#This Row],[Counter Number]]="","",1)</f>
        <v/>
      </c>
      <c r="O202" s="60" t="str">
        <f>IF(Table2[[#This Row],[Counter Number]]="","",Table1[[#This Row],[Vehicle Identification Number(s):]])</f>
        <v/>
      </c>
      <c r="P202" s="60" t="str">
        <f>IF(Table2[[#This Row],[Counter Number]]="","",Table1[[#This Row],[Old Bus Manufacturer:]])</f>
        <v/>
      </c>
      <c r="Q202" s="60" t="str">
        <f>IF(Table2[[#This Row],[Counter Number]]="","",Table1[[#This Row],[Vehicle Model:]])</f>
        <v/>
      </c>
      <c r="R202" s="165" t="str">
        <f>IF(Table2[[#This Row],[Counter Number]]="","",Table1[[#This Row],[Vehicle Model Year:]])</f>
        <v/>
      </c>
      <c r="S202" s="60" t="str">
        <f>IF(Table2[[#This Row],[Counter Number]]="","",Table1[[#This Row],[Engine Serial Number(s):]])</f>
        <v/>
      </c>
      <c r="T202" s="60" t="str">
        <f>IF(Table2[[#This Row],[Counter Number]]="","",Table1[[#This Row],[Engine Make:]])</f>
        <v/>
      </c>
      <c r="U202" s="60" t="str">
        <f>IF(Table2[[#This Row],[Counter Number]]="","",Table1[[#This Row],[Engine Model:]])</f>
        <v/>
      </c>
      <c r="V202" s="165" t="str">
        <f>IF(Table2[[#This Row],[Counter Number]]="","",Table1[[#This Row],[Engine Model Year:]])</f>
        <v/>
      </c>
      <c r="W202" s="60" t="str">
        <f>IF(Table2[[#This Row],[Counter Number]]="","","NA")</f>
        <v/>
      </c>
      <c r="X202" s="165" t="str">
        <f>IF(Table2[[#This Row],[Counter Number]]="","",Table1[[#This Row],[Engine Horsepower (HP):]])</f>
        <v/>
      </c>
      <c r="Y202" s="165" t="str">
        <f>IF(Table2[[#This Row],[Counter Number]]="","",Table1[[#This Row],[Engine Cylinder Displacement (L):]]&amp;" L")</f>
        <v/>
      </c>
      <c r="Z202" s="165" t="str">
        <f>IF(Table2[[#This Row],[Counter Number]]="","",Table1[[#This Row],[Engine Number of Cylinders:]])</f>
        <v/>
      </c>
      <c r="AA202" s="166" t="str">
        <f>IF(Table2[[#This Row],[Counter Number]]="","",Table1[[#This Row],[Engine Family Name:]])</f>
        <v/>
      </c>
      <c r="AB202" s="60" t="str">
        <f>IF(Table2[[#This Row],[Counter Number]]="","","ULSD")</f>
        <v/>
      </c>
      <c r="AC202" s="167" t="str">
        <f>IF(Table2[[#This Row],[Counter Number]]="","",Table2[[#This Row],[Annual Miles Traveled:]]/Table1[[#This Row],[Old Fuel (mpg)]])</f>
        <v/>
      </c>
      <c r="AD202" s="60" t="str">
        <f>IF(Table2[[#This Row],[Counter Number]]="","","NA")</f>
        <v/>
      </c>
      <c r="AE202" s="168" t="str">
        <f>IF(Table2[[#This Row],[Counter Number]]="","",Table1[[#This Row],[Annual Miles Traveled]])</f>
        <v/>
      </c>
      <c r="AF202" s="169" t="str">
        <f>IF(Table2[[#This Row],[Counter Number]]="","",Table1[[#This Row],[Annual Idling Hours:]])</f>
        <v/>
      </c>
      <c r="AG202" s="60" t="str">
        <f>IF(Table2[[#This Row],[Counter Number]]="","","NA")</f>
        <v/>
      </c>
      <c r="AH202" s="165" t="str">
        <f>IF(Table2[[#This Row],[Counter Number]]="","",IF(Application!$J$25="Set Policy",Table1[[#This Row],[Remaining Life (years)         Set Policy]],Table1[[#This Row],[Remaining Life (years)               Case-by-Case]]))</f>
        <v/>
      </c>
      <c r="AI202" s="165" t="str">
        <f>IF(Table2[[#This Row],[Counter Number]]="","",IF(Application!$J$25="Case-by-Case","NA",Table2[[#This Row],[Fiscal Year of EPA Funds Used:]]+Table2[[#This Row],[Remaining Life:]]))</f>
        <v/>
      </c>
      <c r="AJ202" s="165"/>
      <c r="AK202" s="170" t="str">
        <f>IF(Table2[[#This Row],[Counter Number]]="","",Application!$D$14+1)</f>
        <v/>
      </c>
      <c r="AL202" s="60" t="str">
        <f>IF(Table2[[#This Row],[Counter Number]]="","","Vehicle Replacement")</f>
        <v/>
      </c>
      <c r="AM20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2" s="171" t="str">
        <f>IF(Table2[[#This Row],[Counter Number]]="","",Table1[[#This Row],[Cost of New Bus:]])</f>
        <v/>
      </c>
      <c r="AO202" s="60" t="str">
        <f>IF(Table2[[#This Row],[Counter Number]]="","","NA")</f>
        <v/>
      </c>
      <c r="AP202" s="165" t="str">
        <f>IF(Table2[[#This Row],[Counter Number]]="","",Table1[[#This Row],[New Engine Model Year:]])</f>
        <v/>
      </c>
      <c r="AQ202" s="60" t="str">
        <f>IF(Table2[[#This Row],[Counter Number]]="","","NA")</f>
        <v/>
      </c>
      <c r="AR202" s="165" t="str">
        <f>IF(Table2[[#This Row],[Counter Number]]="","",Table1[[#This Row],[New Engine Horsepower (HP):]])</f>
        <v/>
      </c>
      <c r="AS202" s="60" t="str">
        <f>IF(Table2[[#This Row],[Counter Number]]="","","NA")</f>
        <v/>
      </c>
      <c r="AT202" s="165" t="str">
        <f>IF(Table2[[#This Row],[Counter Number]]="","",Table1[[#This Row],[New Engine Cylinder Displacement (L):]]&amp;" L")</f>
        <v/>
      </c>
      <c r="AU202" s="114" t="str">
        <f>IF(Table2[[#This Row],[Counter Number]]="","",Table1[[#This Row],[New Engine Number of Cylinders:]])</f>
        <v/>
      </c>
      <c r="AV202" s="60" t="str">
        <f>IF(Table2[[#This Row],[Counter Number]]="","",Table1[[#This Row],[New Engine Family Name:]])</f>
        <v/>
      </c>
      <c r="AW20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2" s="60" t="str">
        <f>IF(Table2[[#This Row],[Counter Number]]="","","NA")</f>
        <v/>
      </c>
      <c r="AY202" s="172" t="str">
        <f>IF(Table2[[#This Row],[Counter Number]]="","",IF(Table2[[#This Row],[New Engine Fuel Type:]]="ULSD",Table1[[#This Row],[Annual Miles Traveled]]/Table1[[#This Row],[New Fuel (mpg) if Diesel]],""))</f>
        <v/>
      </c>
      <c r="AZ202" s="60"/>
      <c r="BA202" s="173" t="str">
        <f>IF(Table2[[#This Row],[Counter Number]]="","",Table2[[#This Row],[Annual Miles Traveled:]]*VLOOKUP(Table2[[#This Row],[Engine Model Year:]],EFTable[],3,FALSE))</f>
        <v/>
      </c>
      <c r="BB202" s="173" t="str">
        <f>IF(Table2[[#This Row],[Counter Number]]="","",Table2[[#This Row],[Annual Miles Traveled:]]*IF(Table2[[#This Row],[New Engine Fuel Type:]]="ULSD",VLOOKUP(Table2[[#This Row],[New Engine Model Year:]],EFTable[],3,FALSE),VLOOKUP(Table2[[#This Row],[New Engine Fuel Type:]],EFTable[],3,FALSE)))</f>
        <v/>
      </c>
      <c r="BC202" s="187" t="str">
        <f>IF(Table2[[#This Row],[Counter Number]]="","",Table2[[#This Row],[Old Bus NOx Emissions (tons/yr)]]-Table2[[#This Row],[New Bus NOx Emissions (tons/yr)]])</f>
        <v/>
      </c>
      <c r="BD202" s="188" t="str">
        <f>IF(Table2[[#This Row],[Counter Number]]="","",Table2[[#This Row],[Reduction Bus NOx Emissions (tons/yr)]]/Table2[[#This Row],[Old Bus NOx Emissions (tons/yr)]])</f>
        <v/>
      </c>
      <c r="BE202" s="175" t="str">
        <f>IF(Table2[[#This Row],[Counter Number]]="","",Table2[[#This Row],[Reduction Bus NOx Emissions (tons/yr)]]*Table2[[#This Row],[Remaining Life:]])</f>
        <v/>
      </c>
      <c r="BF202" s="189" t="str">
        <f>IF(Table2[[#This Row],[Counter Number]]="","",IF(Table2[[#This Row],[Lifetime NOx Reduction (tons)]]=0,"NA",Table2[[#This Row],[Upgrade Cost Per Unit]]/Table2[[#This Row],[Lifetime NOx Reduction (tons)]]))</f>
        <v/>
      </c>
      <c r="BG202" s="190" t="str">
        <f>IF(Table2[[#This Row],[Counter Number]]="","",Table2[[#This Row],[Annual Miles Traveled:]]*VLOOKUP(Table2[[#This Row],[Engine Model Year:]],EF!$A$2:$G$27,4,FALSE))</f>
        <v/>
      </c>
      <c r="BH202" s="173" t="str">
        <f>IF(Table2[[#This Row],[Counter Number]]="","",Table2[[#This Row],[Annual Miles Traveled:]]*IF(Table2[[#This Row],[New Engine Fuel Type:]]="ULSD",VLOOKUP(Table2[[#This Row],[New Engine Model Year:]],EFTable[],4,FALSE),VLOOKUP(Table2[[#This Row],[New Engine Fuel Type:]],EFTable[],4,FALSE)))</f>
        <v/>
      </c>
      <c r="BI202" s="191" t="str">
        <f>IF(Table2[[#This Row],[Counter Number]]="","",Table2[[#This Row],[Old Bus PM2.5 Emissions (tons/yr)]]-Table2[[#This Row],[New Bus PM2.5 Emissions (tons/yr)]])</f>
        <v/>
      </c>
      <c r="BJ202" s="192" t="str">
        <f>IF(Table2[[#This Row],[Counter Number]]="","",Table2[[#This Row],[Reduction Bus PM2.5 Emissions (tons/yr)]]/Table2[[#This Row],[Old Bus PM2.5 Emissions (tons/yr)]])</f>
        <v/>
      </c>
      <c r="BK202" s="193" t="str">
        <f>IF(Table2[[#This Row],[Counter Number]]="","",Table2[[#This Row],[Reduction Bus PM2.5 Emissions (tons/yr)]]*Table2[[#This Row],[Remaining Life:]])</f>
        <v/>
      </c>
      <c r="BL202" s="194" t="str">
        <f>IF(Table2[[#This Row],[Counter Number]]="","",IF(Table2[[#This Row],[Lifetime PM2.5 Reduction (tons)]]=0,"NA",Table2[[#This Row],[Upgrade Cost Per Unit]]/Table2[[#This Row],[Lifetime PM2.5 Reduction (tons)]]))</f>
        <v/>
      </c>
      <c r="BM202" s="179" t="str">
        <f>IF(Table2[[#This Row],[Counter Number]]="","",Table2[[#This Row],[Annual Miles Traveled:]]*VLOOKUP(Table2[[#This Row],[Engine Model Year:]],EF!$A$2:$G$40,5,FALSE))</f>
        <v/>
      </c>
      <c r="BN202" s="173" t="str">
        <f>IF(Table2[[#This Row],[Counter Number]]="","",Table2[[#This Row],[Annual Miles Traveled:]]*IF(Table2[[#This Row],[New Engine Fuel Type:]]="ULSD",VLOOKUP(Table2[[#This Row],[New Engine Model Year:]],EFTable[],5,FALSE),VLOOKUP(Table2[[#This Row],[New Engine Fuel Type:]],EFTable[],5,FALSE)))</f>
        <v/>
      </c>
      <c r="BO202" s="190" t="str">
        <f>IF(Table2[[#This Row],[Counter Number]]="","",Table2[[#This Row],[Old Bus HC Emissions (tons/yr)]]-Table2[[#This Row],[New Bus HC Emissions (tons/yr)]])</f>
        <v/>
      </c>
      <c r="BP202" s="188" t="str">
        <f>IF(Table2[[#This Row],[Counter Number]]="","",Table2[[#This Row],[Reduction Bus HC Emissions (tons/yr)]]/Table2[[#This Row],[Old Bus HC Emissions (tons/yr)]])</f>
        <v/>
      </c>
      <c r="BQ202" s="193" t="str">
        <f>IF(Table2[[#This Row],[Counter Number]]="","",Table2[[#This Row],[Reduction Bus HC Emissions (tons/yr)]]*Table2[[#This Row],[Remaining Life:]])</f>
        <v/>
      </c>
      <c r="BR202" s="194" t="str">
        <f>IF(Table2[[#This Row],[Counter Number]]="","",IF(Table2[[#This Row],[Lifetime HC Reduction (tons)]]=0,"NA",Table2[[#This Row],[Upgrade Cost Per Unit]]/Table2[[#This Row],[Lifetime HC Reduction (tons)]]))</f>
        <v/>
      </c>
      <c r="BS202" s="191" t="str">
        <f>IF(Table2[[#This Row],[Counter Number]]="","",Table2[[#This Row],[Annual Miles Traveled:]]*VLOOKUP(Table2[[#This Row],[Engine Model Year:]],EF!$A$2:$G$27,6,FALSE))</f>
        <v/>
      </c>
      <c r="BT202" s="173" t="str">
        <f>IF(Table2[[#This Row],[Counter Number]]="","",Table2[[#This Row],[Annual Miles Traveled:]]*IF(Table2[[#This Row],[New Engine Fuel Type:]]="ULSD",VLOOKUP(Table2[[#This Row],[New Engine Model Year:]],EFTable[],6,FALSE),VLOOKUP(Table2[[#This Row],[New Engine Fuel Type:]],EFTable[],6,FALSE)))</f>
        <v/>
      </c>
      <c r="BU202" s="190" t="str">
        <f>IF(Table2[[#This Row],[Counter Number]]="","",Table2[[#This Row],[Old Bus CO Emissions (tons/yr)]]-Table2[[#This Row],[New Bus CO Emissions (tons/yr)]])</f>
        <v/>
      </c>
      <c r="BV202" s="188" t="str">
        <f>IF(Table2[[#This Row],[Counter Number]]="","",Table2[[#This Row],[Reduction Bus CO Emissions (tons/yr)]]/Table2[[#This Row],[Old Bus CO Emissions (tons/yr)]])</f>
        <v/>
      </c>
      <c r="BW202" s="193" t="str">
        <f>IF(Table2[[#This Row],[Counter Number]]="","",Table2[[#This Row],[Reduction Bus CO Emissions (tons/yr)]]*Table2[[#This Row],[Remaining Life:]])</f>
        <v/>
      </c>
      <c r="BX202" s="194" t="str">
        <f>IF(Table2[[#This Row],[Counter Number]]="","",IF(Table2[[#This Row],[Lifetime CO Reduction (tons)]]=0,"NA",Table2[[#This Row],[Upgrade Cost Per Unit]]/Table2[[#This Row],[Lifetime CO Reduction (tons)]]))</f>
        <v/>
      </c>
      <c r="BY202" s="180" t="str">
        <f>IF(Table2[[#This Row],[Counter Number]]="","",Table2[[#This Row],[Old ULSD Used (gal):]]*VLOOKUP(Table2[[#This Row],[Engine Model Year:]],EF!$A$2:$G$27,7,FALSE))</f>
        <v/>
      </c>
      <c r="BZ20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2" s="195" t="str">
        <f>IF(Table2[[#This Row],[Counter Number]]="","",Table2[[#This Row],[Old Bus CO2 Emissions (tons/yr)]]-Table2[[#This Row],[New Bus CO2 Emissions (tons/yr)]])</f>
        <v/>
      </c>
      <c r="CB202" s="188" t="str">
        <f>IF(Table2[[#This Row],[Counter Number]]="","",Table2[[#This Row],[Reduction Bus CO2 Emissions (tons/yr)]]/Table2[[#This Row],[Old Bus CO2 Emissions (tons/yr)]])</f>
        <v/>
      </c>
      <c r="CC202" s="195" t="str">
        <f>IF(Table2[[#This Row],[Counter Number]]="","",Table2[[#This Row],[Reduction Bus CO2 Emissions (tons/yr)]]*Table2[[#This Row],[Remaining Life:]])</f>
        <v/>
      </c>
      <c r="CD202" s="194" t="str">
        <f>IF(Table2[[#This Row],[Counter Number]]="","",IF(Table2[[#This Row],[Lifetime CO2 Reduction (tons)]]=0,"NA",Table2[[#This Row],[Upgrade Cost Per Unit]]/Table2[[#This Row],[Lifetime CO2 Reduction (tons)]]))</f>
        <v/>
      </c>
      <c r="CE202" s="182" t="str">
        <f>IF(Table2[[#This Row],[Counter Number]]="","",IF(Table2[[#This Row],[New ULSD Used (gal):]]="",Table2[[#This Row],[Old ULSD Used (gal):]],Table2[[#This Row],[Old ULSD Used (gal):]]-Table2[[#This Row],[New ULSD Used (gal):]]))</f>
        <v/>
      </c>
      <c r="CF202" s="196" t="str">
        <f>IF(Table2[[#This Row],[Counter Number]]="","",Table2[[#This Row],[Diesel Fuel Reduction (gal/yr)]]/Table2[[#This Row],[Old ULSD Used (gal):]])</f>
        <v/>
      </c>
      <c r="CG202" s="197" t="str">
        <f>IF(Table2[[#This Row],[Counter Number]]="","",Table2[[#This Row],[Diesel Fuel Reduction (gal/yr)]]*Table2[[#This Row],[Remaining Life:]])</f>
        <v/>
      </c>
    </row>
    <row r="203" spans="1:85">
      <c r="A203" s="184" t="str">
        <f>IF(A178&lt;Application!$D$24,A178+1,"")</f>
        <v/>
      </c>
      <c r="B203" s="60" t="str">
        <f>IF(Table2[[#This Row],[Counter Number]]="","",Application!$D$16)</f>
        <v/>
      </c>
      <c r="C203" s="60" t="str">
        <f>IF(Table2[[#This Row],[Counter Number]]="","",Application!$D$14)</f>
        <v/>
      </c>
      <c r="D203" s="60" t="str">
        <f>IF(Table2[[#This Row],[Counter Number]]="","",Table1[[#This Row],[Old Bus Number]])</f>
        <v/>
      </c>
      <c r="E203" s="60" t="str">
        <f>IF(Table2[[#This Row],[Counter Number]]="","",Application!$D$15)</f>
        <v/>
      </c>
      <c r="F203" s="60" t="str">
        <f>IF(Table2[[#This Row],[Counter Number]]="","","On Highway")</f>
        <v/>
      </c>
      <c r="G203" s="60" t="str">
        <f>IF(Table2[[#This Row],[Counter Number]]="","",I203)</f>
        <v/>
      </c>
      <c r="H203" s="60" t="str">
        <f>IF(Table2[[#This Row],[Counter Number]]="","","Georgia")</f>
        <v/>
      </c>
      <c r="I203" s="60" t="str">
        <f>IF(Table2[[#This Row],[Counter Number]]="","",Application!$D$16)</f>
        <v/>
      </c>
      <c r="J203" s="60" t="str">
        <f>IF(Table2[[#This Row],[Counter Number]]="","",Application!$D$21)</f>
        <v/>
      </c>
      <c r="K203" s="60" t="str">
        <f>IF(Table2[[#This Row],[Counter Number]]="","",Application!$J$21)</f>
        <v/>
      </c>
      <c r="L203" s="60" t="str">
        <f>IF(Table2[[#This Row],[Counter Number]]="","","School Bus")</f>
        <v/>
      </c>
      <c r="M203" s="60" t="str">
        <f>IF(Table2[[#This Row],[Counter Number]]="","","School Bus")</f>
        <v/>
      </c>
      <c r="N203" s="60" t="str">
        <f>IF(Table2[[#This Row],[Counter Number]]="","",1)</f>
        <v/>
      </c>
      <c r="O203" s="60" t="str">
        <f>IF(Table2[[#This Row],[Counter Number]]="","",Table1[[#This Row],[Vehicle Identification Number(s):]])</f>
        <v/>
      </c>
      <c r="P203" s="60" t="str">
        <f>IF(Table2[[#This Row],[Counter Number]]="","",Table1[[#This Row],[Old Bus Manufacturer:]])</f>
        <v/>
      </c>
      <c r="Q203" s="60" t="str">
        <f>IF(Table2[[#This Row],[Counter Number]]="","",Table1[[#This Row],[Vehicle Model:]])</f>
        <v/>
      </c>
      <c r="R203" s="165" t="str">
        <f>IF(Table2[[#This Row],[Counter Number]]="","",Table1[[#This Row],[Vehicle Model Year:]])</f>
        <v/>
      </c>
      <c r="S203" s="60" t="str">
        <f>IF(Table2[[#This Row],[Counter Number]]="","",Table1[[#This Row],[Engine Serial Number(s):]])</f>
        <v/>
      </c>
      <c r="T203" s="60" t="str">
        <f>IF(Table2[[#This Row],[Counter Number]]="","",Table1[[#This Row],[Engine Make:]])</f>
        <v/>
      </c>
      <c r="U203" s="60" t="str">
        <f>IF(Table2[[#This Row],[Counter Number]]="","",Table1[[#This Row],[Engine Model:]])</f>
        <v/>
      </c>
      <c r="V203" s="165" t="str">
        <f>IF(Table2[[#This Row],[Counter Number]]="","",Table1[[#This Row],[Engine Model Year:]])</f>
        <v/>
      </c>
      <c r="W203" s="60" t="str">
        <f>IF(Table2[[#This Row],[Counter Number]]="","","NA")</f>
        <v/>
      </c>
      <c r="X203" s="165" t="str">
        <f>IF(Table2[[#This Row],[Counter Number]]="","",Table1[[#This Row],[Engine Horsepower (HP):]])</f>
        <v/>
      </c>
      <c r="Y203" s="165" t="str">
        <f>IF(Table2[[#This Row],[Counter Number]]="","",Table1[[#This Row],[Engine Cylinder Displacement (L):]]&amp;" L")</f>
        <v/>
      </c>
      <c r="Z203" s="165" t="str">
        <f>IF(Table2[[#This Row],[Counter Number]]="","",Table1[[#This Row],[Engine Number of Cylinders:]])</f>
        <v/>
      </c>
      <c r="AA203" s="166" t="str">
        <f>IF(Table2[[#This Row],[Counter Number]]="","",Table1[[#This Row],[Engine Family Name:]])</f>
        <v/>
      </c>
      <c r="AB203" s="60" t="str">
        <f>IF(Table2[[#This Row],[Counter Number]]="","","ULSD")</f>
        <v/>
      </c>
      <c r="AC203" s="167" t="str">
        <f>IF(Table2[[#This Row],[Counter Number]]="","",Table2[[#This Row],[Annual Miles Traveled:]]/Table1[[#This Row],[Old Fuel (mpg)]])</f>
        <v/>
      </c>
      <c r="AD203" s="60" t="str">
        <f>IF(Table2[[#This Row],[Counter Number]]="","","NA")</f>
        <v/>
      </c>
      <c r="AE203" s="168" t="str">
        <f>IF(Table2[[#This Row],[Counter Number]]="","",Table1[[#This Row],[Annual Miles Traveled]])</f>
        <v/>
      </c>
      <c r="AF203" s="169" t="str">
        <f>IF(Table2[[#This Row],[Counter Number]]="","",Table1[[#This Row],[Annual Idling Hours:]])</f>
        <v/>
      </c>
      <c r="AG203" s="60" t="str">
        <f>IF(Table2[[#This Row],[Counter Number]]="","","NA")</f>
        <v/>
      </c>
      <c r="AH203" s="165" t="str">
        <f>IF(Table2[[#This Row],[Counter Number]]="","",IF(Application!$J$25="Set Policy",Table1[[#This Row],[Remaining Life (years)         Set Policy]],Table1[[#This Row],[Remaining Life (years)               Case-by-Case]]))</f>
        <v/>
      </c>
      <c r="AI203" s="165" t="str">
        <f>IF(Table2[[#This Row],[Counter Number]]="","",IF(Application!$J$25="Case-by-Case","NA",Table2[[#This Row],[Fiscal Year of EPA Funds Used:]]+Table2[[#This Row],[Remaining Life:]]))</f>
        <v/>
      </c>
      <c r="AJ203" s="165"/>
      <c r="AK203" s="170" t="str">
        <f>IF(Table2[[#This Row],[Counter Number]]="","",Application!$D$14+1)</f>
        <v/>
      </c>
      <c r="AL203" s="60" t="str">
        <f>IF(Table2[[#This Row],[Counter Number]]="","","Vehicle Replacement")</f>
        <v/>
      </c>
      <c r="AM20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3" s="171" t="str">
        <f>IF(Table2[[#This Row],[Counter Number]]="","",Table1[[#This Row],[Cost of New Bus:]])</f>
        <v/>
      </c>
      <c r="AO203" s="60" t="str">
        <f>IF(Table2[[#This Row],[Counter Number]]="","","NA")</f>
        <v/>
      </c>
      <c r="AP203" s="165" t="str">
        <f>IF(Table2[[#This Row],[Counter Number]]="","",Table1[[#This Row],[New Engine Model Year:]])</f>
        <v/>
      </c>
      <c r="AQ203" s="60" t="str">
        <f>IF(Table2[[#This Row],[Counter Number]]="","","NA")</f>
        <v/>
      </c>
      <c r="AR203" s="165" t="str">
        <f>IF(Table2[[#This Row],[Counter Number]]="","",Table1[[#This Row],[New Engine Horsepower (HP):]])</f>
        <v/>
      </c>
      <c r="AS203" s="60" t="str">
        <f>IF(Table2[[#This Row],[Counter Number]]="","","NA")</f>
        <v/>
      </c>
      <c r="AT203" s="165" t="str">
        <f>IF(Table2[[#This Row],[Counter Number]]="","",Table1[[#This Row],[New Engine Cylinder Displacement (L):]]&amp;" L")</f>
        <v/>
      </c>
      <c r="AU203" s="114" t="str">
        <f>IF(Table2[[#This Row],[Counter Number]]="","",Table1[[#This Row],[New Engine Number of Cylinders:]])</f>
        <v/>
      </c>
      <c r="AV203" s="60" t="str">
        <f>IF(Table2[[#This Row],[Counter Number]]="","",Table1[[#This Row],[New Engine Family Name:]])</f>
        <v/>
      </c>
      <c r="AW20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3" s="60" t="str">
        <f>IF(Table2[[#This Row],[Counter Number]]="","","NA")</f>
        <v/>
      </c>
      <c r="AY203" s="172" t="str">
        <f>IF(Table2[[#This Row],[Counter Number]]="","",IF(Table2[[#This Row],[New Engine Fuel Type:]]="ULSD",Table1[[#This Row],[Annual Miles Traveled]]/Table1[[#This Row],[New Fuel (mpg) if Diesel]],""))</f>
        <v/>
      </c>
      <c r="AZ203" s="60"/>
      <c r="BA203" s="173" t="str">
        <f>IF(Table2[[#This Row],[Counter Number]]="","",Table2[[#This Row],[Annual Miles Traveled:]]*VLOOKUP(Table2[[#This Row],[Engine Model Year:]],EFTable[],3,FALSE))</f>
        <v/>
      </c>
      <c r="BB203" s="173" t="str">
        <f>IF(Table2[[#This Row],[Counter Number]]="","",Table2[[#This Row],[Annual Miles Traveled:]]*IF(Table2[[#This Row],[New Engine Fuel Type:]]="ULSD",VLOOKUP(Table2[[#This Row],[New Engine Model Year:]],EFTable[],3,FALSE),VLOOKUP(Table2[[#This Row],[New Engine Fuel Type:]],EFTable[],3,FALSE)))</f>
        <v/>
      </c>
      <c r="BC203" s="187" t="str">
        <f>IF(Table2[[#This Row],[Counter Number]]="","",Table2[[#This Row],[Old Bus NOx Emissions (tons/yr)]]-Table2[[#This Row],[New Bus NOx Emissions (tons/yr)]])</f>
        <v/>
      </c>
      <c r="BD203" s="188" t="str">
        <f>IF(Table2[[#This Row],[Counter Number]]="","",Table2[[#This Row],[Reduction Bus NOx Emissions (tons/yr)]]/Table2[[#This Row],[Old Bus NOx Emissions (tons/yr)]])</f>
        <v/>
      </c>
      <c r="BE203" s="175" t="str">
        <f>IF(Table2[[#This Row],[Counter Number]]="","",Table2[[#This Row],[Reduction Bus NOx Emissions (tons/yr)]]*Table2[[#This Row],[Remaining Life:]])</f>
        <v/>
      </c>
      <c r="BF203" s="189" t="str">
        <f>IF(Table2[[#This Row],[Counter Number]]="","",IF(Table2[[#This Row],[Lifetime NOx Reduction (tons)]]=0,"NA",Table2[[#This Row],[Upgrade Cost Per Unit]]/Table2[[#This Row],[Lifetime NOx Reduction (tons)]]))</f>
        <v/>
      </c>
      <c r="BG203" s="190" t="str">
        <f>IF(Table2[[#This Row],[Counter Number]]="","",Table2[[#This Row],[Annual Miles Traveled:]]*VLOOKUP(Table2[[#This Row],[Engine Model Year:]],EF!$A$2:$G$27,4,FALSE))</f>
        <v/>
      </c>
      <c r="BH203" s="173" t="str">
        <f>IF(Table2[[#This Row],[Counter Number]]="","",Table2[[#This Row],[Annual Miles Traveled:]]*IF(Table2[[#This Row],[New Engine Fuel Type:]]="ULSD",VLOOKUP(Table2[[#This Row],[New Engine Model Year:]],EFTable[],4,FALSE),VLOOKUP(Table2[[#This Row],[New Engine Fuel Type:]],EFTable[],4,FALSE)))</f>
        <v/>
      </c>
      <c r="BI203" s="191" t="str">
        <f>IF(Table2[[#This Row],[Counter Number]]="","",Table2[[#This Row],[Old Bus PM2.5 Emissions (tons/yr)]]-Table2[[#This Row],[New Bus PM2.5 Emissions (tons/yr)]])</f>
        <v/>
      </c>
      <c r="BJ203" s="192" t="str">
        <f>IF(Table2[[#This Row],[Counter Number]]="","",Table2[[#This Row],[Reduction Bus PM2.5 Emissions (tons/yr)]]/Table2[[#This Row],[Old Bus PM2.5 Emissions (tons/yr)]])</f>
        <v/>
      </c>
      <c r="BK203" s="193" t="str">
        <f>IF(Table2[[#This Row],[Counter Number]]="","",Table2[[#This Row],[Reduction Bus PM2.5 Emissions (tons/yr)]]*Table2[[#This Row],[Remaining Life:]])</f>
        <v/>
      </c>
      <c r="BL203" s="194" t="str">
        <f>IF(Table2[[#This Row],[Counter Number]]="","",IF(Table2[[#This Row],[Lifetime PM2.5 Reduction (tons)]]=0,"NA",Table2[[#This Row],[Upgrade Cost Per Unit]]/Table2[[#This Row],[Lifetime PM2.5 Reduction (tons)]]))</f>
        <v/>
      </c>
      <c r="BM203" s="179" t="str">
        <f>IF(Table2[[#This Row],[Counter Number]]="","",Table2[[#This Row],[Annual Miles Traveled:]]*VLOOKUP(Table2[[#This Row],[Engine Model Year:]],EF!$A$2:$G$40,5,FALSE))</f>
        <v/>
      </c>
      <c r="BN203" s="173" t="str">
        <f>IF(Table2[[#This Row],[Counter Number]]="","",Table2[[#This Row],[Annual Miles Traveled:]]*IF(Table2[[#This Row],[New Engine Fuel Type:]]="ULSD",VLOOKUP(Table2[[#This Row],[New Engine Model Year:]],EFTable[],5,FALSE),VLOOKUP(Table2[[#This Row],[New Engine Fuel Type:]],EFTable[],5,FALSE)))</f>
        <v/>
      </c>
      <c r="BO203" s="190" t="str">
        <f>IF(Table2[[#This Row],[Counter Number]]="","",Table2[[#This Row],[Old Bus HC Emissions (tons/yr)]]-Table2[[#This Row],[New Bus HC Emissions (tons/yr)]])</f>
        <v/>
      </c>
      <c r="BP203" s="188" t="str">
        <f>IF(Table2[[#This Row],[Counter Number]]="","",Table2[[#This Row],[Reduction Bus HC Emissions (tons/yr)]]/Table2[[#This Row],[Old Bus HC Emissions (tons/yr)]])</f>
        <v/>
      </c>
      <c r="BQ203" s="193" t="str">
        <f>IF(Table2[[#This Row],[Counter Number]]="","",Table2[[#This Row],[Reduction Bus HC Emissions (tons/yr)]]*Table2[[#This Row],[Remaining Life:]])</f>
        <v/>
      </c>
      <c r="BR203" s="194" t="str">
        <f>IF(Table2[[#This Row],[Counter Number]]="","",IF(Table2[[#This Row],[Lifetime HC Reduction (tons)]]=0,"NA",Table2[[#This Row],[Upgrade Cost Per Unit]]/Table2[[#This Row],[Lifetime HC Reduction (tons)]]))</f>
        <v/>
      </c>
      <c r="BS203" s="191" t="str">
        <f>IF(Table2[[#This Row],[Counter Number]]="","",Table2[[#This Row],[Annual Miles Traveled:]]*VLOOKUP(Table2[[#This Row],[Engine Model Year:]],EF!$A$2:$G$27,6,FALSE))</f>
        <v/>
      </c>
      <c r="BT203" s="173" t="str">
        <f>IF(Table2[[#This Row],[Counter Number]]="","",Table2[[#This Row],[Annual Miles Traveled:]]*IF(Table2[[#This Row],[New Engine Fuel Type:]]="ULSD",VLOOKUP(Table2[[#This Row],[New Engine Model Year:]],EFTable[],6,FALSE),VLOOKUP(Table2[[#This Row],[New Engine Fuel Type:]],EFTable[],6,FALSE)))</f>
        <v/>
      </c>
      <c r="BU203" s="190" t="str">
        <f>IF(Table2[[#This Row],[Counter Number]]="","",Table2[[#This Row],[Old Bus CO Emissions (tons/yr)]]-Table2[[#This Row],[New Bus CO Emissions (tons/yr)]])</f>
        <v/>
      </c>
      <c r="BV203" s="188" t="str">
        <f>IF(Table2[[#This Row],[Counter Number]]="","",Table2[[#This Row],[Reduction Bus CO Emissions (tons/yr)]]/Table2[[#This Row],[Old Bus CO Emissions (tons/yr)]])</f>
        <v/>
      </c>
      <c r="BW203" s="193" t="str">
        <f>IF(Table2[[#This Row],[Counter Number]]="","",Table2[[#This Row],[Reduction Bus CO Emissions (tons/yr)]]*Table2[[#This Row],[Remaining Life:]])</f>
        <v/>
      </c>
      <c r="BX203" s="194" t="str">
        <f>IF(Table2[[#This Row],[Counter Number]]="","",IF(Table2[[#This Row],[Lifetime CO Reduction (tons)]]=0,"NA",Table2[[#This Row],[Upgrade Cost Per Unit]]/Table2[[#This Row],[Lifetime CO Reduction (tons)]]))</f>
        <v/>
      </c>
      <c r="BY203" s="180" t="str">
        <f>IF(Table2[[#This Row],[Counter Number]]="","",Table2[[#This Row],[Old ULSD Used (gal):]]*VLOOKUP(Table2[[#This Row],[Engine Model Year:]],EF!$A$2:$G$27,7,FALSE))</f>
        <v/>
      </c>
      <c r="BZ20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3" s="195" t="str">
        <f>IF(Table2[[#This Row],[Counter Number]]="","",Table2[[#This Row],[Old Bus CO2 Emissions (tons/yr)]]-Table2[[#This Row],[New Bus CO2 Emissions (tons/yr)]])</f>
        <v/>
      </c>
      <c r="CB203" s="188" t="str">
        <f>IF(Table2[[#This Row],[Counter Number]]="","",Table2[[#This Row],[Reduction Bus CO2 Emissions (tons/yr)]]/Table2[[#This Row],[Old Bus CO2 Emissions (tons/yr)]])</f>
        <v/>
      </c>
      <c r="CC203" s="195" t="str">
        <f>IF(Table2[[#This Row],[Counter Number]]="","",Table2[[#This Row],[Reduction Bus CO2 Emissions (tons/yr)]]*Table2[[#This Row],[Remaining Life:]])</f>
        <v/>
      </c>
      <c r="CD203" s="194" t="str">
        <f>IF(Table2[[#This Row],[Counter Number]]="","",IF(Table2[[#This Row],[Lifetime CO2 Reduction (tons)]]=0,"NA",Table2[[#This Row],[Upgrade Cost Per Unit]]/Table2[[#This Row],[Lifetime CO2 Reduction (tons)]]))</f>
        <v/>
      </c>
      <c r="CE203" s="182" t="str">
        <f>IF(Table2[[#This Row],[Counter Number]]="","",IF(Table2[[#This Row],[New ULSD Used (gal):]]="",Table2[[#This Row],[Old ULSD Used (gal):]],Table2[[#This Row],[Old ULSD Used (gal):]]-Table2[[#This Row],[New ULSD Used (gal):]]))</f>
        <v/>
      </c>
      <c r="CF203" s="196" t="str">
        <f>IF(Table2[[#This Row],[Counter Number]]="","",Table2[[#This Row],[Diesel Fuel Reduction (gal/yr)]]/Table2[[#This Row],[Old ULSD Used (gal):]])</f>
        <v/>
      </c>
      <c r="CG203" s="197" t="str">
        <f>IF(Table2[[#This Row],[Counter Number]]="","",Table2[[#This Row],[Diesel Fuel Reduction (gal/yr)]]*Table2[[#This Row],[Remaining Life:]])</f>
        <v/>
      </c>
    </row>
    <row r="204" spans="1:85">
      <c r="A204" s="184" t="str">
        <f>IF(A179&lt;Application!$D$24,A179+1,"")</f>
        <v/>
      </c>
      <c r="B204" s="60" t="str">
        <f>IF(Table2[[#This Row],[Counter Number]]="","",Application!$D$16)</f>
        <v/>
      </c>
      <c r="C204" s="60" t="str">
        <f>IF(Table2[[#This Row],[Counter Number]]="","",Application!$D$14)</f>
        <v/>
      </c>
      <c r="D204" s="60" t="str">
        <f>IF(Table2[[#This Row],[Counter Number]]="","",Table1[[#This Row],[Old Bus Number]])</f>
        <v/>
      </c>
      <c r="E204" s="60" t="str">
        <f>IF(Table2[[#This Row],[Counter Number]]="","",Application!$D$15)</f>
        <v/>
      </c>
      <c r="F204" s="60" t="str">
        <f>IF(Table2[[#This Row],[Counter Number]]="","","On Highway")</f>
        <v/>
      </c>
      <c r="G204" s="60" t="str">
        <f>IF(Table2[[#This Row],[Counter Number]]="","",I204)</f>
        <v/>
      </c>
      <c r="H204" s="60" t="str">
        <f>IF(Table2[[#This Row],[Counter Number]]="","","Georgia")</f>
        <v/>
      </c>
      <c r="I204" s="60" t="str">
        <f>IF(Table2[[#This Row],[Counter Number]]="","",Application!$D$16)</f>
        <v/>
      </c>
      <c r="J204" s="60" t="str">
        <f>IF(Table2[[#This Row],[Counter Number]]="","",Application!$D$21)</f>
        <v/>
      </c>
      <c r="K204" s="60" t="str">
        <f>IF(Table2[[#This Row],[Counter Number]]="","",Application!$J$21)</f>
        <v/>
      </c>
      <c r="L204" s="60" t="str">
        <f>IF(Table2[[#This Row],[Counter Number]]="","","School Bus")</f>
        <v/>
      </c>
      <c r="M204" s="60" t="str">
        <f>IF(Table2[[#This Row],[Counter Number]]="","","School Bus")</f>
        <v/>
      </c>
      <c r="N204" s="60" t="str">
        <f>IF(Table2[[#This Row],[Counter Number]]="","",1)</f>
        <v/>
      </c>
      <c r="O204" s="60" t="str">
        <f>IF(Table2[[#This Row],[Counter Number]]="","",Table1[[#This Row],[Vehicle Identification Number(s):]])</f>
        <v/>
      </c>
      <c r="P204" s="60" t="str">
        <f>IF(Table2[[#This Row],[Counter Number]]="","",Table1[[#This Row],[Old Bus Manufacturer:]])</f>
        <v/>
      </c>
      <c r="Q204" s="60" t="str">
        <f>IF(Table2[[#This Row],[Counter Number]]="","",Table1[[#This Row],[Vehicle Model:]])</f>
        <v/>
      </c>
      <c r="R204" s="165" t="str">
        <f>IF(Table2[[#This Row],[Counter Number]]="","",Table1[[#This Row],[Vehicle Model Year:]])</f>
        <v/>
      </c>
      <c r="S204" s="60" t="str">
        <f>IF(Table2[[#This Row],[Counter Number]]="","",Table1[[#This Row],[Engine Serial Number(s):]])</f>
        <v/>
      </c>
      <c r="T204" s="60" t="str">
        <f>IF(Table2[[#This Row],[Counter Number]]="","",Table1[[#This Row],[Engine Make:]])</f>
        <v/>
      </c>
      <c r="U204" s="60" t="str">
        <f>IF(Table2[[#This Row],[Counter Number]]="","",Table1[[#This Row],[Engine Model:]])</f>
        <v/>
      </c>
      <c r="V204" s="165" t="str">
        <f>IF(Table2[[#This Row],[Counter Number]]="","",Table1[[#This Row],[Engine Model Year:]])</f>
        <v/>
      </c>
      <c r="W204" s="60" t="str">
        <f>IF(Table2[[#This Row],[Counter Number]]="","","NA")</f>
        <v/>
      </c>
      <c r="X204" s="165" t="str">
        <f>IF(Table2[[#This Row],[Counter Number]]="","",Table1[[#This Row],[Engine Horsepower (HP):]])</f>
        <v/>
      </c>
      <c r="Y204" s="165" t="str">
        <f>IF(Table2[[#This Row],[Counter Number]]="","",Table1[[#This Row],[Engine Cylinder Displacement (L):]]&amp;" L")</f>
        <v/>
      </c>
      <c r="Z204" s="165" t="str">
        <f>IF(Table2[[#This Row],[Counter Number]]="","",Table1[[#This Row],[Engine Number of Cylinders:]])</f>
        <v/>
      </c>
      <c r="AA204" s="166" t="str">
        <f>IF(Table2[[#This Row],[Counter Number]]="","",Table1[[#This Row],[Engine Family Name:]])</f>
        <v/>
      </c>
      <c r="AB204" s="60" t="str">
        <f>IF(Table2[[#This Row],[Counter Number]]="","","ULSD")</f>
        <v/>
      </c>
      <c r="AC204" s="167" t="str">
        <f>IF(Table2[[#This Row],[Counter Number]]="","",Table2[[#This Row],[Annual Miles Traveled:]]/Table1[[#This Row],[Old Fuel (mpg)]])</f>
        <v/>
      </c>
      <c r="AD204" s="60" t="str">
        <f>IF(Table2[[#This Row],[Counter Number]]="","","NA")</f>
        <v/>
      </c>
      <c r="AE204" s="168" t="str">
        <f>IF(Table2[[#This Row],[Counter Number]]="","",Table1[[#This Row],[Annual Miles Traveled]])</f>
        <v/>
      </c>
      <c r="AF204" s="169" t="str">
        <f>IF(Table2[[#This Row],[Counter Number]]="","",Table1[[#This Row],[Annual Idling Hours:]])</f>
        <v/>
      </c>
      <c r="AG204" s="60" t="str">
        <f>IF(Table2[[#This Row],[Counter Number]]="","","NA")</f>
        <v/>
      </c>
      <c r="AH204" s="165" t="str">
        <f>IF(Table2[[#This Row],[Counter Number]]="","",IF(Application!$J$25="Set Policy",Table1[[#This Row],[Remaining Life (years)         Set Policy]],Table1[[#This Row],[Remaining Life (years)               Case-by-Case]]))</f>
        <v/>
      </c>
      <c r="AI204" s="165" t="str">
        <f>IF(Table2[[#This Row],[Counter Number]]="","",IF(Application!$J$25="Case-by-Case","NA",Table2[[#This Row],[Fiscal Year of EPA Funds Used:]]+Table2[[#This Row],[Remaining Life:]]))</f>
        <v/>
      </c>
      <c r="AJ204" s="165"/>
      <c r="AK204" s="170" t="str">
        <f>IF(Table2[[#This Row],[Counter Number]]="","",Application!$D$14+1)</f>
        <v/>
      </c>
      <c r="AL204" s="60" t="str">
        <f>IF(Table2[[#This Row],[Counter Number]]="","","Vehicle Replacement")</f>
        <v/>
      </c>
      <c r="AM20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4" s="171" t="str">
        <f>IF(Table2[[#This Row],[Counter Number]]="","",Table1[[#This Row],[Cost of New Bus:]])</f>
        <v/>
      </c>
      <c r="AO204" s="60" t="str">
        <f>IF(Table2[[#This Row],[Counter Number]]="","","NA")</f>
        <v/>
      </c>
      <c r="AP204" s="165" t="str">
        <f>IF(Table2[[#This Row],[Counter Number]]="","",Table1[[#This Row],[New Engine Model Year:]])</f>
        <v/>
      </c>
      <c r="AQ204" s="60" t="str">
        <f>IF(Table2[[#This Row],[Counter Number]]="","","NA")</f>
        <v/>
      </c>
      <c r="AR204" s="165" t="str">
        <f>IF(Table2[[#This Row],[Counter Number]]="","",Table1[[#This Row],[New Engine Horsepower (HP):]])</f>
        <v/>
      </c>
      <c r="AS204" s="60" t="str">
        <f>IF(Table2[[#This Row],[Counter Number]]="","","NA")</f>
        <v/>
      </c>
      <c r="AT204" s="165" t="str">
        <f>IF(Table2[[#This Row],[Counter Number]]="","",Table1[[#This Row],[New Engine Cylinder Displacement (L):]]&amp;" L")</f>
        <v/>
      </c>
      <c r="AU204" s="114" t="str">
        <f>IF(Table2[[#This Row],[Counter Number]]="","",Table1[[#This Row],[New Engine Number of Cylinders:]])</f>
        <v/>
      </c>
      <c r="AV204" s="60" t="str">
        <f>IF(Table2[[#This Row],[Counter Number]]="","",Table1[[#This Row],[New Engine Family Name:]])</f>
        <v/>
      </c>
      <c r="AW20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4" s="60" t="str">
        <f>IF(Table2[[#This Row],[Counter Number]]="","","NA")</f>
        <v/>
      </c>
      <c r="AY204" s="172" t="str">
        <f>IF(Table2[[#This Row],[Counter Number]]="","",IF(Table2[[#This Row],[New Engine Fuel Type:]]="ULSD",Table1[[#This Row],[Annual Miles Traveled]]/Table1[[#This Row],[New Fuel (mpg) if Diesel]],""))</f>
        <v/>
      </c>
      <c r="AZ204" s="60"/>
      <c r="BA204" s="173" t="str">
        <f>IF(Table2[[#This Row],[Counter Number]]="","",Table2[[#This Row],[Annual Miles Traveled:]]*VLOOKUP(Table2[[#This Row],[Engine Model Year:]],EFTable[],3,FALSE))</f>
        <v/>
      </c>
      <c r="BB204" s="173" t="str">
        <f>IF(Table2[[#This Row],[Counter Number]]="","",Table2[[#This Row],[Annual Miles Traveled:]]*IF(Table2[[#This Row],[New Engine Fuel Type:]]="ULSD",VLOOKUP(Table2[[#This Row],[New Engine Model Year:]],EFTable[],3,FALSE),VLOOKUP(Table2[[#This Row],[New Engine Fuel Type:]],EFTable[],3,FALSE)))</f>
        <v/>
      </c>
      <c r="BC204" s="187" t="str">
        <f>IF(Table2[[#This Row],[Counter Number]]="","",Table2[[#This Row],[Old Bus NOx Emissions (tons/yr)]]-Table2[[#This Row],[New Bus NOx Emissions (tons/yr)]])</f>
        <v/>
      </c>
      <c r="BD204" s="188" t="str">
        <f>IF(Table2[[#This Row],[Counter Number]]="","",Table2[[#This Row],[Reduction Bus NOx Emissions (tons/yr)]]/Table2[[#This Row],[Old Bus NOx Emissions (tons/yr)]])</f>
        <v/>
      </c>
      <c r="BE204" s="175" t="str">
        <f>IF(Table2[[#This Row],[Counter Number]]="","",Table2[[#This Row],[Reduction Bus NOx Emissions (tons/yr)]]*Table2[[#This Row],[Remaining Life:]])</f>
        <v/>
      </c>
      <c r="BF204" s="189" t="str">
        <f>IF(Table2[[#This Row],[Counter Number]]="","",IF(Table2[[#This Row],[Lifetime NOx Reduction (tons)]]=0,"NA",Table2[[#This Row],[Upgrade Cost Per Unit]]/Table2[[#This Row],[Lifetime NOx Reduction (tons)]]))</f>
        <v/>
      </c>
      <c r="BG204" s="190" t="str">
        <f>IF(Table2[[#This Row],[Counter Number]]="","",Table2[[#This Row],[Annual Miles Traveled:]]*VLOOKUP(Table2[[#This Row],[Engine Model Year:]],EF!$A$2:$G$27,4,FALSE))</f>
        <v/>
      </c>
      <c r="BH204" s="173" t="str">
        <f>IF(Table2[[#This Row],[Counter Number]]="","",Table2[[#This Row],[Annual Miles Traveled:]]*IF(Table2[[#This Row],[New Engine Fuel Type:]]="ULSD",VLOOKUP(Table2[[#This Row],[New Engine Model Year:]],EFTable[],4,FALSE),VLOOKUP(Table2[[#This Row],[New Engine Fuel Type:]],EFTable[],4,FALSE)))</f>
        <v/>
      </c>
      <c r="BI204" s="191" t="str">
        <f>IF(Table2[[#This Row],[Counter Number]]="","",Table2[[#This Row],[Old Bus PM2.5 Emissions (tons/yr)]]-Table2[[#This Row],[New Bus PM2.5 Emissions (tons/yr)]])</f>
        <v/>
      </c>
      <c r="BJ204" s="192" t="str">
        <f>IF(Table2[[#This Row],[Counter Number]]="","",Table2[[#This Row],[Reduction Bus PM2.5 Emissions (tons/yr)]]/Table2[[#This Row],[Old Bus PM2.5 Emissions (tons/yr)]])</f>
        <v/>
      </c>
      <c r="BK204" s="193" t="str">
        <f>IF(Table2[[#This Row],[Counter Number]]="","",Table2[[#This Row],[Reduction Bus PM2.5 Emissions (tons/yr)]]*Table2[[#This Row],[Remaining Life:]])</f>
        <v/>
      </c>
      <c r="BL204" s="194" t="str">
        <f>IF(Table2[[#This Row],[Counter Number]]="","",IF(Table2[[#This Row],[Lifetime PM2.5 Reduction (tons)]]=0,"NA",Table2[[#This Row],[Upgrade Cost Per Unit]]/Table2[[#This Row],[Lifetime PM2.5 Reduction (tons)]]))</f>
        <v/>
      </c>
      <c r="BM204" s="179" t="str">
        <f>IF(Table2[[#This Row],[Counter Number]]="","",Table2[[#This Row],[Annual Miles Traveled:]]*VLOOKUP(Table2[[#This Row],[Engine Model Year:]],EF!$A$2:$G$40,5,FALSE))</f>
        <v/>
      </c>
      <c r="BN204" s="173" t="str">
        <f>IF(Table2[[#This Row],[Counter Number]]="","",Table2[[#This Row],[Annual Miles Traveled:]]*IF(Table2[[#This Row],[New Engine Fuel Type:]]="ULSD",VLOOKUP(Table2[[#This Row],[New Engine Model Year:]],EFTable[],5,FALSE),VLOOKUP(Table2[[#This Row],[New Engine Fuel Type:]],EFTable[],5,FALSE)))</f>
        <v/>
      </c>
      <c r="BO204" s="190" t="str">
        <f>IF(Table2[[#This Row],[Counter Number]]="","",Table2[[#This Row],[Old Bus HC Emissions (tons/yr)]]-Table2[[#This Row],[New Bus HC Emissions (tons/yr)]])</f>
        <v/>
      </c>
      <c r="BP204" s="188" t="str">
        <f>IF(Table2[[#This Row],[Counter Number]]="","",Table2[[#This Row],[Reduction Bus HC Emissions (tons/yr)]]/Table2[[#This Row],[Old Bus HC Emissions (tons/yr)]])</f>
        <v/>
      </c>
      <c r="BQ204" s="193" t="str">
        <f>IF(Table2[[#This Row],[Counter Number]]="","",Table2[[#This Row],[Reduction Bus HC Emissions (tons/yr)]]*Table2[[#This Row],[Remaining Life:]])</f>
        <v/>
      </c>
      <c r="BR204" s="194" t="str">
        <f>IF(Table2[[#This Row],[Counter Number]]="","",IF(Table2[[#This Row],[Lifetime HC Reduction (tons)]]=0,"NA",Table2[[#This Row],[Upgrade Cost Per Unit]]/Table2[[#This Row],[Lifetime HC Reduction (tons)]]))</f>
        <v/>
      </c>
      <c r="BS204" s="191" t="str">
        <f>IF(Table2[[#This Row],[Counter Number]]="","",Table2[[#This Row],[Annual Miles Traveled:]]*VLOOKUP(Table2[[#This Row],[Engine Model Year:]],EF!$A$2:$G$27,6,FALSE))</f>
        <v/>
      </c>
      <c r="BT204" s="173" t="str">
        <f>IF(Table2[[#This Row],[Counter Number]]="","",Table2[[#This Row],[Annual Miles Traveled:]]*IF(Table2[[#This Row],[New Engine Fuel Type:]]="ULSD",VLOOKUP(Table2[[#This Row],[New Engine Model Year:]],EFTable[],6,FALSE),VLOOKUP(Table2[[#This Row],[New Engine Fuel Type:]],EFTable[],6,FALSE)))</f>
        <v/>
      </c>
      <c r="BU204" s="190" t="str">
        <f>IF(Table2[[#This Row],[Counter Number]]="","",Table2[[#This Row],[Old Bus CO Emissions (tons/yr)]]-Table2[[#This Row],[New Bus CO Emissions (tons/yr)]])</f>
        <v/>
      </c>
      <c r="BV204" s="188" t="str">
        <f>IF(Table2[[#This Row],[Counter Number]]="","",Table2[[#This Row],[Reduction Bus CO Emissions (tons/yr)]]/Table2[[#This Row],[Old Bus CO Emissions (tons/yr)]])</f>
        <v/>
      </c>
      <c r="BW204" s="193" t="str">
        <f>IF(Table2[[#This Row],[Counter Number]]="","",Table2[[#This Row],[Reduction Bus CO Emissions (tons/yr)]]*Table2[[#This Row],[Remaining Life:]])</f>
        <v/>
      </c>
      <c r="BX204" s="194" t="str">
        <f>IF(Table2[[#This Row],[Counter Number]]="","",IF(Table2[[#This Row],[Lifetime CO Reduction (tons)]]=0,"NA",Table2[[#This Row],[Upgrade Cost Per Unit]]/Table2[[#This Row],[Lifetime CO Reduction (tons)]]))</f>
        <v/>
      </c>
      <c r="BY204" s="180" t="str">
        <f>IF(Table2[[#This Row],[Counter Number]]="","",Table2[[#This Row],[Old ULSD Used (gal):]]*VLOOKUP(Table2[[#This Row],[Engine Model Year:]],EF!$A$2:$G$27,7,FALSE))</f>
        <v/>
      </c>
      <c r="BZ20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4" s="195" t="str">
        <f>IF(Table2[[#This Row],[Counter Number]]="","",Table2[[#This Row],[Old Bus CO2 Emissions (tons/yr)]]-Table2[[#This Row],[New Bus CO2 Emissions (tons/yr)]])</f>
        <v/>
      </c>
      <c r="CB204" s="188" t="str">
        <f>IF(Table2[[#This Row],[Counter Number]]="","",Table2[[#This Row],[Reduction Bus CO2 Emissions (tons/yr)]]/Table2[[#This Row],[Old Bus CO2 Emissions (tons/yr)]])</f>
        <v/>
      </c>
      <c r="CC204" s="195" t="str">
        <f>IF(Table2[[#This Row],[Counter Number]]="","",Table2[[#This Row],[Reduction Bus CO2 Emissions (tons/yr)]]*Table2[[#This Row],[Remaining Life:]])</f>
        <v/>
      </c>
      <c r="CD204" s="194" t="str">
        <f>IF(Table2[[#This Row],[Counter Number]]="","",IF(Table2[[#This Row],[Lifetime CO2 Reduction (tons)]]=0,"NA",Table2[[#This Row],[Upgrade Cost Per Unit]]/Table2[[#This Row],[Lifetime CO2 Reduction (tons)]]))</f>
        <v/>
      </c>
      <c r="CE204" s="182" t="str">
        <f>IF(Table2[[#This Row],[Counter Number]]="","",IF(Table2[[#This Row],[New ULSD Used (gal):]]="",Table2[[#This Row],[Old ULSD Used (gal):]],Table2[[#This Row],[Old ULSD Used (gal):]]-Table2[[#This Row],[New ULSD Used (gal):]]))</f>
        <v/>
      </c>
      <c r="CF204" s="196" t="str">
        <f>IF(Table2[[#This Row],[Counter Number]]="","",Table2[[#This Row],[Diesel Fuel Reduction (gal/yr)]]/Table2[[#This Row],[Old ULSD Used (gal):]])</f>
        <v/>
      </c>
      <c r="CG204" s="197" t="str">
        <f>IF(Table2[[#This Row],[Counter Number]]="","",Table2[[#This Row],[Diesel Fuel Reduction (gal/yr)]]*Table2[[#This Row],[Remaining Life:]])</f>
        <v/>
      </c>
    </row>
    <row r="205" spans="1:85">
      <c r="A205" s="184" t="str">
        <f>IF(A180&lt;Application!$D$24,A180+1,"")</f>
        <v/>
      </c>
      <c r="B205" s="60" t="str">
        <f>IF(Table2[[#This Row],[Counter Number]]="","",Application!$D$16)</f>
        <v/>
      </c>
      <c r="C205" s="60" t="str">
        <f>IF(Table2[[#This Row],[Counter Number]]="","",Application!$D$14)</f>
        <v/>
      </c>
      <c r="D205" s="60" t="str">
        <f>IF(Table2[[#This Row],[Counter Number]]="","",Table1[[#This Row],[Old Bus Number]])</f>
        <v/>
      </c>
      <c r="E205" s="60" t="str">
        <f>IF(Table2[[#This Row],[Counter Number]]="","",Application!$D$15)</f>
        <v/>
      </c>
      <c r="F205" s="60" t="str">
        <f>IF(Table2[[#This Row],[Counter Number]]="","","On Highway")</f>
        <v/>
      </c>
      <c r="G205" s="60" t="str">
        <f>IF(Table2[[#This Row],[Counter Number]]="","",I205)</f>
        <v/>
      </c>
      <c r="H205" s="60" t="str">
        <f>IF(Table2[[#This Row],[Counter Number]]="","","Georgia")</f>
        <v/>
      </c>
      <c r="I205" s="60" t="str">
        <f>IF(Table2[[#This Row],[Counter Number]]="","",Application!$D$16)</f>
        <v/>
      </c>
      <c r="J205" s="60" t="str">
        <f>IF(Table2[[#This Row],[Counter Number]]="","",Application!$D$21)</f>
        <v/>
      </c>
      <c r="K205" s="60" t="str">
        <f>IF(Table2[[#This Row],[Counter Number]]="","",Application!$J$21)</f>
        <v/>
      </c>
      <c r="L205" s="60" t="str">
        <f>IF(Table2[[#This Row],[Counter Number]]="","","School Bus")</f>
        <v/>
      </c>
      <c r="M205" s="60" t="str">
        <f>IF(Table2[[#This Row],[Counter Number]]="","","School Bus")</f>
        <v/>
      </c>
      <c r="N205" s="60" t="str">
        <f>IF(Table2[[#This Row],[Counter Number]]="","",1)</f>
        <v/>
      </c>
      <c r="O205" s="60" t="str">
        <f>IF(Table2[[#This Row],[Counter Number]]="","",Table1[[#This Row],[Vehicle Identification Number(s):]])</f>
        <v/>
      </c>
      <c r="P205" s="60" t="str">
        <f>IF(Table2[[#This Row],[Counter Number]]="","",Table1[[#This Row],[Old Bus Manufacturer:]])</f>
        <v/>
      </c>
      <c r="Q205" s="60" t="str">
        <f>IF(Table2[[#This Row],[Counter Number]]="","",Table1[[#This Row],[Vehicle Model:]])</f>
        <v/>
      </c>
      <c r="R205" s="165" t="str">
        <f>IF(Table2[[#This Row],[Counter Number]]="","",Table1[[#This Row],[Vehicle Model Year:]])</f>
        <v/>
      </c>
      <c r="S205" s="60" t="str">
        <f>IF(Table2[[#This Row],[Counter Number]]="","",Table1[[#This Row],[Engine Serial Number(s):]])</f>
        <v/>
      </c>
      <c r="T205" s="60" t="str">
        <f>IF(Table2[[#This Row],[Counter Number]]="","",Table1[[#This Row],[Engine Make:]])</f>
        <v/>
      </c>
      <c r="U205" s="60" t="str">
        <f>IF(Table2[[#This Row],[Counter Number]]="","",Table1[[#This Row],[Engine Model:]])</f>
        <v/>
      </c>
      <c r="V205" s="165" t="str">
        <f>IF(Table2[[#This Row],[Counter Number]]="","",Table1[[#This Row],[Engine Model Year:]])</f>
        <v/>
      </c>
      <c r="W205" s="60" t="str">
        <f>IF(Table2[[#This Row],[Counter Number]]="","","NA")</f>
        <v/>
      </c>
      <c r="X205" s="165" t="str">
        <f>IF(Table2[[#This Row],[Counter Number]]="","",Table1[[#This Row],[Engine Horsepower (HP):]])</f>
        <v/>
      </c>
      <c r="Y205" s="165" t="str">
        <f>IF(Table2[[#This Row],[Counter Number]]="","",Table1[[#This Row],[Engine Cylinder Displacement (L):]]&amp;" L")</f>
        <v/>
      </c>
      <c r="Z205" s="165" t="str">
        <f>IF(Table2[[#This Row],[Counter Number]]="","",Table1[[#This Row],[Engine Number of Cylinders:]])</f>
        <v/>
      </c>
      <c r="AA205" s="166" t="str">
        <f>IF(Table2[[#This Row],[Counter Number]]="","",Table1[[#This Row],[Engine Family Name:]])</f>
        <v/>
      </c>
      <c r="AB205" s="60" t="str">
        <f>IF(Table2[[#This Row],[Counter Number]]="","","ULSD")</f>
        <v/>
      </c>
      <c r="AC205" s="167" t="str">
        <f>IF(Table2[[#This Row],[Counter Number]]="","",Table2[[#This Row],[Annual Miles Traveled:]]/Table1[[#This Row],[Old Fuel (mpg)]])</f>
        <v/>
      </c>
      <c r="AD205" s="60" t="str">
        <f>IF(Table2[[#This Row],[Counter Number]]="","","NA")</f>
        <v/>
      </c>
      <c r="AE205" s="168" t="str">
        <f>IF(Table2[[#This Row],[Counter Number]]="","",Table1[[#This Row],[Annual Miles Traveled]])</f>
        <v/>
      </c>
      <c r="AF205" s="169" t="str">
        <f>IF(Table2[[#This Row],[Counter Number]]="","",Table1[[#This Row],[Annual Idling Hours:]])</f>
        <v/>
      </c>
      <c r="AG205" s="60" t="str">
        <f>IF(Table2[[#This Row],[Counter Number]]="","","NA")</f>
        <v/>
      </c>
      <c r="AH205" s="165" t="str">
        <f>IF(Table2[[#This Row],[Counter Number]]="","",IF(Application!$J$25="Set Policy",Table1[[#This Row],[Remaining Life (years)         Set Policy]],Table1[[#This Row],[Remaining Life (years)               Case-by-Case]]))</f>
        <v/>
      </c>
      <c r="AI205" s="165" t="str">
        <f>IF(Table2[[#This Row],[Counter Number]]="","",IF(Application!$J$25="Case-by-Case","NA",Table2[[#This Row],[Fiscal Year of EPA Funds Used:]]+Table2[[#This Row],[Remaining Life:]]))</f>
        <v/>
      </c>
      <c r="AJ205" s="165"/>
      <c r="AK205" s="170" t="str">
        <f>IF(Table2[[#This Row],[Counter Number]]="","",Application!$D$14+1)</f>
        <v/>
      </c>
      <c r="AL205" s="60" t="str">
        <f>IF(Table2[[#This Row],[Counter Number]]="","","Vehicle Replacement")</f>
        <v/>
      </c>
      <c r="AM20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5" s="171" t="str">
        <f>IF(Table2[[#This Row],[Counter Number]]="","",Table1[[#This Row],[Cost of New Bus:]])</f>
        <v/>
      </c>
      <c r="AO205" s="60" t="str">
        <f>IF(Table2[[#This Row],[Counter Number]]="","","NA")</f>
        <v/>
      </c>
      <c r="AP205" s="165" t="str">
        <f>IF(Table2[[#This Row],[Counter Number]]="","",Table1[[#This Row],[New Engine Model Year:]])</f>
        <v/>
      </c>
      <c r="AQ205" s="60" t="str">
        <f>IF(Table2[[#This Row],[Counter Number]]="","","NA")</f>
        <v/>
      </c>
      <c r="AR205" s="165" t="str">
        <f>IF(Table2[[#This Row],[Counter Number]]="","",Table1[[#This Row],[New Engine Horsepower (HP):]])</f>
        <v/>
      </c>
      <c r="AS205" s="60" t="str">
        <f>IF(Table2[[#This Row],[Counter Number]]="","","NA")</f>
        <v/>
      </c>
      <c r="AT205" s="165" t="str">
        <f>IF(Table2[[#This Row],[Counter Number]]="","",Table1[[#This Row],[New Engine Cylinder Displacement (L):]]&amp;" L")</f>
        <v/>
      </c>
      <c r="AU205" s="114" t="str">
        <f>IF(Table2[[#This Row],[Counter Number]]="","",Table1[[#This Row],[New Engine Number of Cylinders:]])</f>
        <v/>
      </c>
      <c r="AV205" s="60" t="str">
        <f>IF(Table2[[#This Row],[Counter Number]]="","",Table1[[#This Row],[New Engine Family Name:]])</f>
        <v/>
      </c>
      <c r="AW20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5" s="60" t="str">
        <f>IF(Table2[[#This Row],[Counter Number]]="","","NA")</f>
        <v/>
      </c>
      <c r="AY205" s="172" t="str">
        <f>IF(Table2[[#This Row],[Counter Number]]="","",IF(Table2[[#This Row],[New Engine Fuel Type:]]="ULSD",Table1[[#This Row],[Annual Miles Traveled]]/Table1[[#This Row],[New Fuel (mpg) if Diesel]],""))</f>
        <v/>
      </c>
      <c r="AZ205" s="60"/>
      <c r="BA205" s="173" t="str">
        <f>IF(Table2[[#This Row],[Counter Number]]="","",Table2[[#This Row],[Annual Miles Traveled:]]*VLOOKUP(Table2[[#This Row],[Engine Model Year:]],EFTable[],3,FALSE))</f>
        <v/>
      </c>
      <c r="BB205" s="173" t="str">
        <f>IF(Table2[[#This Row],[Counter Number]]="","",Table2[[#This Row],[Annual Miles Traveled:]]*IF(Table2[[#This Row],[New Engine Fuel Type:]]="ULSD",VLOOKUP(Table2[[#This Row],[New Engine Model Year:]],EFTable[],3,FALSE),VLOOKUP(Table2[[#This Row],[New Engine Fuel Type:]],EFTable[],3,FALSE)))</f>
        <v/>
      </c>
      <c r="BC205" s="187" t="str">
        <f>IF(Table2[[#This Row],[Counter Number]]="","",Table2[[#This Row],[Old Bus NOx Emissions (tons/yr)]]-Table2[[#This Row],[New Bus NOx Emissions (tons/yr)]])</f>
        <v/>
      </c>
      <c r="BD205" s="188" t="str">
        <f>IF(Table2[[#This Row],[Counter Number]]="","",Table2[[#This Row],[Reduction Bus NOx Emissions (tons/yr)]]/Table2[[#This Row],[Old Bus NOx Emissions (tons/yr)]])</f>
        <v/>
      </c>
      <c r="BE205" s="175" t="str">
        <f>IF(Table2[[#This Row],[Counter Number]]="","",Table2[[#This Row],[Reduction Bus NOx Emissions (tons/yr)]]*Table2[[#This Row],[Remaining Life:]])</f>
        <v/>
      </c>
      <c r="BF205" s="189" t="str">
        <f>IF(Table2[[#This Row],[Counter Number]]="","",IF(Table2[[#This Row],[Lifetime NOx Reduction (tons)]]=0,"NA",Table2[[#This Row],[Upgrade Cost Per Unit]]/Table2[[#This Row],[Lifetime NOx Reduction (tons)]]))</f>
        <v/>
      </c>
      <c r="BG205" s="190" t="str">
        <f>IF(Table2[[#This Row],[Counter Number]]="","",Table2[[#This Row],[Annual Miles Traveled:]]*VLOOKUP(Table2[[#This Row],[Engine Model Year:]],EF!$A$2:$G$27,4,FALSE))</f>
        <v/>
      </c>
      <c r="BH205" s="173" t="str">
        <f>IF(Table2[[#This Row],[Counter Number]]="","",Table2[[#This Row],[Annual Miles Traveled:]]*IF(Table2[[#This Row],[New Engine Fuel Type:]]="ULSD",VLOOKUP(Table2[[#This Row],[New Engine Model Year:]],EFTable[],4,FALSE),VLOOKUP(Table2[[#This Row],[New Engine Fuel Type:]],EFTable[],4,FALSE)))</f>
        <v/>
      </c>
      <c r="BI205" s="191" t="str">
        <f>IF(Table2[[#This Row],[Counter Number]]="","",Table2[[#This Row],[Old Bus PM2.5 Emissions (tons/yr)]]-Table2[[#This Row],[New Bus PM2.5 Emissions (tons/yr)]])</f>
        <v/>
      </c>
      <c r="BJ205" s="192" t="str">
        <f>IF(Table2[[#This Row],[Counter Number]]="","",Table2[[#This Row],[Reduction Bus PM2.5 Emissions (tons/yr)]]/Table2[[#This Row],[Old Bus PM2.5 Emissions (tons/yr)]])</f>
        <v/>
      </c>
      <c r="BK205" s="193" t="str">
        <f>IF(Table2[[#This Row],[Counter Number]]="","",Table2[[#This Row],[Reduction Bus PM2.5 Emissions (tons/yr)]]*Table2[[#This Row],[Remaining Life:]])</f>
        <v/>
      </c>
      <c r="BL205" s="194" t="str">
        <f>IF(Table2[[#This Row],[Counter Number]]="","",IF(Table2[[#This Row],[Lifetime PM2.5 Reduction (tons)]]=0,"NA",Table2[[#This Row],[Upgrade Cost Per Unit]]/Table2[[#This Row],[Lifetime PM2.5 Reduction (tons)]]))</f>
        <v/>
      </c>
      <c r="BM205" s="179" t="str">
        <f>IF(Table2[[#This Row],[Counter Number]]="","",Table2[[#This Row],[Annual Miles Traveled:]]*VLOOKUP(Table2[[#This Row],[Engine Model Year:]],EF!$A$2:$G$40,5,FALSE))</f>
        <v/>
      </c>
      <c r="BN205" s="173" t="str">
        <f>IF(Table2[[#This Row],[Counter Number]]="","",Table2[[#This Row],[Annual Miles Traveled:]]*IF(Table2[[#This Row],[New Engine Fuel Type:]]="ULSD",VLOOKUP(Table2[[#This Row],[New Engine Model Year:]],EFTable[],5,FALSE),VLOOKUP(Table2[[#This Row],[New Engine Fuel Type:]],EFTable[],5,FALSE)))</f>
        <v/>
      </c>
      <c r="BO205" s="190" t="str">
        <f>IF(Table2[[#This Row],[Counter Number]]="","",Table2[[#This Row],[Old Bus HC Emissions (tons/yr)]]-Table2[[#This Row],[New Bus HC Emissions (tons/yr)]])</f>
        <v/>
      </c>
      <c r="BP205" s="188" t="str">
        <f>IF(Table2[[#This Row],[Counter Number]]="","",Table2[[#This Row],[Reduction Bus HC Emissions (tons/yr)]]/Table2[[#This Row],[Old Bus HC Emissions (tons/yr)]])</f>
        <v/>
      </c>
      <c r="BQ205" s="193" t="str">
        <f>IF(Table2[[#This Row],[Counter Number]]="","",Table2[[#This Row],[Reduction Bus HC Emissions (tons/yr)]]*Table2[[#This Row],[Remaining Life:]])</f>
        <v/>
      </c>
      <c r="BR205" s="194" t="str">
        <f>IF(Table2[[#This Row],[Counter Number]]="","",IF(Table2[[#This Row],[Lifetime HC Reduction (tons)]]=0,"NA",Table2[[#This Row],[Upgrade Cost Per Unit]]/Table2[[#This Row],[Lifetime HC Reduction (tons)]]))</f>
        <v/>
      </c>
      <c r="BS205" s="191" t="str">
        <f>IF(Table2[[#This Row],[Counter Number]]="","",Table2[[#This Row],[Annual Miles Traveled:]]*VLOOKUP(Table2[[#This Row],[Engine Model Year:]],EF!$A$2:$G$27,6,FALSE))</f>
        <v/>
      </c>
      <c r="BT205" s="173" t="str">
        <f>IF(Table2[[#This Row],[Counter Number]]="","",Table2[[#This Row],[Annual Miles Traveled:]]*IF(Table2[[#This Row],[New Engine Fuel Type:]]="ULSD",VLOOKUP(Table2[[#This Row],[New Engine Model Year:]],EFTable[],6,FALSE),VLOOKUP(Table2[[#This Row],[New Engine Fuel Type:]],EFTable[],6,FALSE)))</f>
        <v/>
      </c>
      <c r="BU205" s="190" t="str">
        <f>IF(Table2[[#This Row],[Counter Number]]="","",Table2[[#This Row],[Old Bus CO Emissions (tons/yr)]]-Table2[[#This Row],[New Bus CO Emissions (tons/yr)]])</f>
        <v/>
      </c>
      <c r="BV205" s="188" t="str">
        <f>IF(Table2[[#This Row],[Counter Number]]="","",Table2[[#This Row],[Reduction Bus CO Emissions (tons/yr)]]/Table2[[#This Row],[Old Bus CO Emissions (tons/yr)]])</f>
        <v/>
      </c>
      <c r="BW205" s="193" t="str">
        <f>IF(Table2[[#This Row],[Counter Number]]="","",Table2[[#This Row],[Reduction Bus CO Emissions (tons/yr)]]*Table2[[#This Row],[Remaining Life:]])</f>
        <v/>
      </c>
      <c r="BX205" s="194" t="str">
        <f>IF(Table2[[#This Row],[Counter Number]]="","",IF(Table2[[#This Row],[Lifetime CO Reduction (tons)]]=0,"NA",Table2[[#This Row],[Upgrade Cost Per Unit]]/Table2[[#This Row],[Lifetime CO Reduction (tons)]]))</f>
        <v/>
      </c>
      <c r="BY205" s="180" t="str">
        <f>IF(Table2[[#This Row],[Counter Number]]="","",Table2[[#This Row],[Old ULSD Used (gal):]]*VLOOKUP(Table2[[#This Row],[Engine Model Year:]],EF!$A$2:$G$27,7,FALSE))</f>
        <v/>
      </c>
      <c r="BZ20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5" s="195" t="str">
        <f>IF(Table2[[#This Row],[Counter Number]]="","",Table2[[#This Row],[Old Bus CO2 Emissions (tons/yr)]]-Table2[[#This Row],[New Bus CO2 Emissions (tons/yr)]])</f>
        <v/>
      </c>
      <c r="CB205" s="188" t="str">
        <f>IF(Table2[[#This Row],[Counter Number]]="","",Table2[[#This Row],[Reduction Bus CO2 Emissions (tons/yr)]]/Table2[[#This Row],[Old Bus CO2 Emissions (tons/yr)]])</f>
        <v/>
      </c>
      <c r="CC205" s="195" t="str">
        <f>IF(Table2[[#This Row],[Counter Number]]="","",Table2[[#This Row],[Reduction Bus CO2 Emissions (tons/yr)]]*Table2[[#This Row],[Remaining Life:]])</f>
        <v/>
      </c>
      <c r="CD205" s="194" t="str">
        <f>IF(Table2[[#This Row],[Counter Number]]="","",IF(Table2[[#This Row],[Lifetime CO2 Reduction (tons)]]=0,"NA",Table2[[#This Row],[Upgrade Cost Per Unit]]/Table2[[#This Row],[Lifetime CO2 Reduction (tons)]]))</f>
        <v/>
      </c>
      <c r="CE205" s="182" t="str">
        <f>IF(Table2[[#This Row],[Counter Number]]="","",IF(Table2[[#This Row],[New ULSD Used (gal):]]="",Table2[[#This Row],[Old ULSD Used (gal):]],Table2[[#This Row],[Old ULSD Used (gal):]]-Table2[[#This Row],[New ULSD Used (gal):]]))</f>
        <v/>
      </c>
      <c r="CF205" s="196" t="str">
        <f>IF(Table2[[#This Row],[Counter Number]]="","",Table2[[#This Row],[Diesel Fuel Reduction (gal/yr)]]/Table2[[#This Row],[Old ULSD Used (gal):]])</f>
        <v/>
      </c>
      <c r="CG205" s="197" t="str">
        <f>IF(Table2[[#This Row],[Counter Number]]="","",Table2[[#This Row],[Diesel Fuel Reduction (gal/yr)]]*Table2[[#This Row],[Remaining Life:]])</f>
        <v/>
      </c>
    </row>
    <row r="206" spans="1:85">
      <c r="A206" s="184" t="str">
        <f>IF(A181&lt;Application!$D$24,A181+1,"")</f>
        <v/>
      </c>
      <c r="B206" s="60" t="str">
        <f>IF(Table2[[#This Row],[Counter Number]]="","",Application!$D$16)</f>
        <v/>
      </c>
      <c r="C206" s="60" t="str">
        <f>IF(Table2[[#This Row],[Counter Number]]="","",Application!$D$14)</f>
        <v/>
      </c>
      <c r="D206" s="60" t="str">
        <f>IF(Table2[[#This Row],[Counter Number]]="","",Table1[[#This Row],[Old Bus Number]])</f>
        <v/>
      </c>
      <c r="E206" s="60" t="str">
        <f>IF(Table2[[#This Row],[Counter Number]]="","",Application!$D$15)</f>
        <v/>
      </c>
      <c r="F206" s="60" t="str">
        <f>IF(Table2[[#This Row],[Counter Number]]="","","On Highway")</f>
        <v/>
      </c>
      <c r="G206" s="60" t="str">
        <f>IF(Table2[[#This Row],[Counter Number]]="","",I206)</f>
        <v/>
      </c>
      <c r="H206" s="60" t="str">
        <f>IF(Table2[[#This Row],[Counter Number]]="","","Georgia")</f>
        <v/>
      </c>
      <c r="I206" s="60" t="str">
        <f>IF(Table2[[#This Row],[Counter Number]]="","",Application!$D$16)</f>
        <v/>
      </c>
      <c r="J206" s="60" t="str">
        <f>IF(Table2[[#This Row],[Counter Number]]="","",Application!$D$21)</f>
        <v/>
      </c>
      <c r="K206" s="60" t="str">
        <f>IF(Table2[[#This Row],[Counter Number]]="","",Application!$J$21)</f>
        <v/>
      </c>
      <c r="L206" s="60" t="str">
        <f>IF(Table2[[#This Row],[Counter Number]]="","","School Bus")</f>
        <v/>
      </c>
      <c r="M206" s="60" t="str">
        <f>IF(Table2[[#This Row],[Counter Number]]="","","School Bus")</f>
        <v/>
      </c>
      <c r="N206" s="60" t="str">
        <f>IF(Table2[[#This Row],[Counter Number]]="","",1)</f>
        <v/>
      </c>
      <c r="O206" s="60" t="str">
        <f>IF(Table2[[#This Row],[Counter Number]]="","",Table1[[#This Row],[Vehicle Identification Number(s):]])</f>
        <v/>
      </c>
      <c r="P206" s="60" t="str">
        <f>IF(Table2[[#This Row],[Counter Number]]="","",Table1[[#This Row],[Old Bus Manufacturer:]])</f>
        <v/>
      </c>
      <c r="Q206" s="60" t="str">
        <f>IF(Table2[[#This Row],[Counter Number]]="","",Table1[[#This Row],[Vehicle Model:]])</f>
        <v/>
      </c>
      <c r="R206" s="165" t="str">
        <f>IF(Table2[[#This Row],[Counter Number]]="","",Table1[[#This Row],[Vehicle Model Year:]])</f>
        <v/>
      </c>
      <c r="S206" s="60" t="str">
        <f>IF(Table2[[#This Row],[Counter Number]]="","",Table1[[#This Row],[Engine Serial Number(s):]])</f>
        <v/>
      </c>
      <c r="T206" s="60" t="str">
        <f>IF(Table2[[#This Row],[Counter Number]]="","",Table1[[#This Row],[Engine Make:]])</f>
        <v/>
      </c>
      <c r="U206" s="60" t="str">
        <f>IF(Table2[[#This Row],[Counter Number]]="","",Table1[[#This Row],[Engine Model:]])</f>
        <v/>
      </c>
      <c r="V206" s="165" t="str">
        <f>IF(Table2[[#This Row],[Counter Number]]="","",Table1[[#This Row],[Engine Model Year:]])</f>
        <v/>
      </c>
      <c r="W206" s="60" t="str">
        <f>IF(Table2[[#This Row],[Counter Number]]="","","NA")</f>
        <v/>
      </c>
      <c r="X206" s="165" t="str">
        <f>IF(Table2[[#This Row],[Counter Number]]="","",Table1[[#This Row],[Engine Horsepower (HP):]])</f>
        <v/>
      </c>
      <c r="Y206" s="165" t="str">
        <f>IF(Table2[[#This Row],[Counter Number]]="","",Table1[[#This Row],[Engine Cylinder Displacement (L):]]&amp;" L")</f>
        <v/>
      </c>
      <c r="Z206" s="165" t="str">
        <f>IF(Table2[[#This Row],[Counter Number]]="","",Table1[[#This Row],[Engine Number of Cylinders:]])</f>
        <v/>
      </c>
      <c r="AA206" s="166" t="str">
        <f>IF(Table2[[#This Row],[Counter Number]]="","",Table1[[#This Row],[Engine Family Name:]])</f>
        <v/>
      </c>
      <c r="AB206" s="60" t="str">
        <f>IF(Table2[[#This Row],[Counter Number]]="","","ULSD")</f>
        <v/>
      </c>
      <c r="AC206" s="167" t="str">
        <f>IF(Table2[[#This Row],[Counter Number]]="","",Table2[[#This Row],[Annual Miles Traveled:]]/Table1[[#This Row],[Old Fuel (mpg)]])</f>
        <v/>
      </c>
      <c r="AD206" s="60" t="str">
        <f>IF(Table2[[#This Row],[Counter Number]]="","","NA")</f>
        <v/>
      </c>
      <c r="AE206" s="168" t="str">
        <f>IF(Table2[[#This Row],[Counter Number]]="","",Table1[[#This Row],[Annual Miles Traveled]])</f>
        <v/>
      </c>
      <c r="AF206" s="169" t="str">
        <f>IF(Table2[[#This Row],[Counter Number]]="","",Table1[[#This Row],[Annual Idling Hours:]])</f>
        <v/>
      </c>
      <c r="AG206" s="60" t="str">
        <f>IF(Table2[[#This Row],[Counter Number]]="","","NA")</f>
        <v/>
      </c>
      <c r="AH206" s="165" t="str">
        <f>IF(Table2[[#This Row],[Counter Number]]="","",IF(Application!$J$25="Set Policy",Table1[[#This Row],[Remaining Life (years)         Set Policy]],Table1[[#This Row],[Remaining Life (years)               Case-by-Case]]))</f>
        <v/>
      </c>
      <c r="AI206" s="165" t="str">
        <f>IF(Table2[[#This Row],[Counter Number]]="","",IF(Application!$J$25="Case-by-Case","NA",Table2[[#This Row],[Fiscal Year of EPA Funds Used:]]+Table2[[#This Row],[Remaining Life:]]))</f>
        <v/>
      </c>
      <c r="AJ206" s="165"/>
      <c r="AK206" s="170" t="str">
        <f>IF(Table2[[#This Row],[Counter Number]]="","",Application!$D$14+1)</f>
        <v/>
      </c>
      <c r="AL206" s="60" t="str">
        <f>IF(Table2[[#This Row],[Counter Number]]="","","Vehicle Replacement")</f>
        <v/>
      </c>
      <c r="AM20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6" s="171" t="str">
        <f>IF(Table2[[#This Row],[Counter Number]]="","",Table1[[#This Row],[Cost of New Bus:]])</f>
        <v/>
      </c>
      <c r="AO206" s="60" t="str">
        <f>IF(Table2[[#This Row],[Counter Number]]="","","NA")</f>
        <v/>
      </c>
      <c r="AP206" s="165" t="str">
        <f>IF(Table2[[#This Row],[Counter Number]]="","",Table1[[#This Row],[New Engine Model Year:]])</f>
        <v/>
      </c>
      <c r="AQ206" s="60" t="str">
        <f>IF(Table2[[#This Row],[Counter Number]]="","","NA")</f>
        <v/>
      </c>
      <c r="AR206" s="165" t="str">
        <f>IF(Table2[[#This Row],[Counter Number]]="","",Table1[[#This Row],[New Engine Horsepower (HP):]])</f>
        <v/>
      </c>
      <c r="AS206" s="60" t="str">
        <f>IF(Table2[[#This Row],[Counter Number]]="","","NA")</f>
        <v/>
      </c>
      <c r="AT206" s="165" t="str">
        <f>IF(Table2[[#This Row],[Counter Number]]="","",Table1[[#This Row],[New Engine Cylinder Displacement (L):]]&amp;" L")</f>
        <v/>
      </c>
      <c r="AU206" s="114" t="str">
        <f>IF(Table2[[#This Row],[Counter Number]]="","",Table1[[#This Row],[New Engine Number of Cylinders:]])</f>
        <v/>
      </c>
      <c r="AV206" s="60" t="str">
        <f>IF(Table2[[#This Row],[Counter Number]]="","",Table1[[#This Row],[New Engine Family Name:]])</f>
        <v/>
      </c>
      <c r="AW20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6" s="60" t="str">
        <f>IF(Table2[[#This Row],[Counter Number]]="","","NA")</f>
        <v/>
      </c>
      <c r="AY206" s="172" t="str">
        <f>IF(Table2[[#This Row],[Counter Number]]="","",IF(Table2[[#This Row],[New Engine Fuel Type:]]="ULSD",Table1[[#This Row],[Annual Miles Traveled]]/Table1[[#This Row],[New Fuel (mpg) if Diesel]],""))</f>
        <v/>
      </c>
      <c r="AZ206" s="60"/>
      <c r="BA206" s="173" t="str">
        <f>IF(Table2[[#This Row],[Counter Number]]="","",Table2[[#This Row],[Annual Miles Traveled:]]*VLOOKUP(Table2[[#This Row],[Engine Model Year:]],EFTable[],3,FALSE))</f>
        <v/>
      </c>
      <c r="BB206" s="173" t="str">
        <f>IF(Table2[[#This Row],[Counter Number]]="","",Table2[[#This Row],[Annual Miles Traveled:]]*IF(Table2[[#This Row],[New Engine Fuel Type:]]="ULSD",VLOOKUP(Table2[[#This Row],[New Engine Model Year:]],EFTable[],3,FALSE),VLOOKUP(Table2[[#This Row],[New Engine Fuel Type:]],EFTable[],3,FALSE)))</f>
        <v/>
      </c>
      <c r="BC206" s="187" t="str">
        <f>IF(Table2[[#This Row],[Counter Number]]="","",Table2[[#This Row],[Old Bus NOx Emissions (tons/yr)]]-Table2[[#This Row],[New Bus NOx Emissions (tons/yr)]])</f>
        <v/>
      </c>
      <c r="BD206" s="188" t="str">
        <f>IF(Table2[[#This Row],[Counter Number]]="","",Table2[[#This Row],[Reduction Bus NOx Emissions (tons/yr)]]/Table2[[#This Row],[Old Bus NOx Emissions (tons/yr)]])</f>
        <v/>
      </c>
      <c r="BE206" s="175" t="str">
        <f>IF(Table2[[#This Row],[Counter Number]]="","",Table2[[#This Row],[Reduction Bus NOx Emissions (tons/yr)]]*Table2[[#This Row],[Remaining Life:]])</f>
        <v/>
      </c>
      <c r="BF206" s="189" t="str">
        <f>IF(Table2[[#This Row],[Counter Number]]="","",IF(Table2[[#This Row],[Lifetime NOx Reduction (tons)]]=0,"NA",Table2[[#This Row],[Upgrade Cost Per Unit]]/Table2[[#This Row],[Lifetime NOx Reduction (tons)]]))</f>
        <v/>
      </c>
      <c r="BG206" s="190" t="str">
        <f>IF(Table2[[#This Row],[Counter Number]]="","",Table2[[#This Row],[Annual Miles Traveled:]]*VLOOKUP(Table2[[#This Row],[Engine Model Year:]],EF!$A$2:$G$27,4,FALSE))</f>
        <v/>
      </c>
      <c r="BH206" s="173" t="str">
        <f>IF(Table2[[#This Row],[Counter Number]]="","",Table2[[#This Row],[Annual Miles Traveled:]]*IF(Table2[[#This Row],[New Engine Fuel Type:]]="ULSD",VLOOKUP(Table2[[#This Row],[New Engine Model Year:]],EFTable[],4,FALSE),VLOOKUP(Table2[[#This Row],[New Engine Fuel Type:]],EFTable[],4,FALSE)))</f>
        <v/>
      </c>
      <c r="BI206" s="191" t="str">
        <f>IF(Table2[[#This Row],[Counter Number]]="","",Table2[[#This Row],[Old Bus PM2.5 Emissions (tons/yr)]]-Table2[[#This Row],[New Bus PM2.5 Emissions (tons/yr)]])</f>
        <v/>
      </c>
      <c r="BJ206" s="192" t="str">
        <f>IF(Table2[[#This Row],[Counter Number]]="","",Table2[[#This Row],[Reduction Bus PM2.5 Emissions (tons/yr)]]/Table2[[#This Row],[Old Bus PM2.5 Emissions (tons/yr)]])</f>
        <v/>
      </c>
      <c r="BK206" s="193" t="str">
        <f>IF(Table2[[#This Row],[Counter Number]]="","",Table2[[#This Row],[Reduction Bus PM2.5 Emissions (tons/yr)]]*Table2[[#This Row],[Remaining Life:]])</f>
        <v/>
      </c>
      <c r="BL206" s="194" t="str">
        <f>IF(Table2[[#This Row],[Counter Number]]="","",IF(Table2[[#This Row],[Lifetime PM2.5 Reduction (tons)]]=0,"NA",Table2[[#This Row],[Upgrade Cost Per Unit]]/Table2[[#This Row],[Lifetime PM2.5 Reduction (tons)]]))</f>
        <v/>
      </c>
      <c r="BM206" s="179" t="str">
        <f>IF(Table2[[#This Row],[Counter Number]]="","",Table2[[#This Row],[Annual Miles Traveled:]]*VLOOKUP(Table2[[#This Row],[Engine Model Year:]],EF!$A$2:$G$40,5,FALSE))</f>
        <v/>
      </c>
      <c r="BN206" s="173" t="str">
        <f>IF(Table2[[#This Row],[Counter Number]]="","",Table2[[#This Row],[Annual Miles Traveled:]]*IF(Table2[[#This Row],[New Engine Fuel Type:]]="ULSD",VLOOKUP(Table2[[#This Row],[New Engine Model Year:]],EFTable[],5,FALSE),VLOOKUP(Table2[[#This Row],[New Engine Fuel Type:]],EFTable[],5,FALSE)))</f>
        <v/>
      </c>
      <c r="BO206" s="190" t="str">
        <f>IF(Table2[[#This Row],[Counter Number]]="","",Table2[[#This Row],[Old Bus HC Emissions (tons/yr)]]-Table2[[#This Row],[New Bus HC Emissions (tons/yr)]])</f>
        <v/>
      </c>
      <c r="BP206" s="188" t="str">
        <f>IF(Table2[[#This Row],[Counter Number]]="","",Table2[[#This Row],[Reduction Bus HC Emissions (tons/yr)]]/Table2[[#This Row],[Old Bus HC Emissions (tons/yr)]])</f>
        <v/>
      </c>
      <c r="BQ206" s="193" t="str">
        <f>IF(Table2[[#This Row],[Counter Number]]="","",Table2[[#This Row],[Reduction Bus HC Emissions (tons/yr)]]*Table2[[#This Row],[Remaining Life:]])</f>
        <v/>
      </c>
      <c r="BR206" s="194" t="str">
        <f>IF(Table2[[#This Row],[Counter Number]]="","",IF(Table2[[#This Row],[Lifetime HC Reduction (tons)]]=0,"NA",Table2[[#This Row],[Upgrade Cost Per Unit]]/Table2[[#This Row],[Lifetime HC Reduction (tons)]]))</f>
        <v/>
      </c>
      <c r="BS206" s="191" t="str">
        <f>IF(Table2[[#This Row],[Counter Number]]="","",Table2[[#This Row],[Annual Miles Traveled:]]*VLOOKUP(Table2[[#This Row],[Engine Model Year:]],EF!$A$2:$G$27,6,FALSE))</f>
        <v/>
      </c>
      <c r="BT206" s="173" t="str">
        <f>IF(Table2[[#This Row],[Counter Number]]="","",Table2[[#This Row],[Annual Miles Traveled:]]*IF(Table2[[#This Row],[New Engine Fuel Type:]]="ULSD",VLOOKUP(Table2[[#This Row],[New Engine Model Year:]],EFTable[],6,FALSE),VLOOKUP(Table2[[#This Row],[New Engine Fuel Type:]],EFTable[],6,FALSE)))</f>
        <v/>
      </c>
      <c r="BU206" s="190" t="str">
        <f>IF(Table2[[#This Row],[Counter Number]]="","",Table2[[#This Row],[Old Bus CO Emissions (tons/yr)]]-Table2[[#This Row],[New Bus CO Emissions (tons/yr)]])</f>
        <v/>
      </c>
      <c r="BV206" s="188" t="str">
        <f>IF(Table2[[#This Row],[Counter Number]]="","",Table2[[#This Row],[Reduction Bus CO Emissions (tons/yr)]]/Table2[[#This Row],[Old Bus CO Emissions (tons/yr)]])</f>
        <v/>
      </c>
      <c r="BW206" s="193" t="str">
        <f>IF(Table2[[#This Row],[Counter Number]]="","",Table2[[#This Row],[Reduction Bus CO Emissions (tons/yr)]]*Table2[[#This Row],[Remaining Life:]])</f>
        <v/>
      </c>
      <c r="BX206" s="194" t="str">
        <f>IF(Table2[[#This Row],[Counter Number]]="","",IF(Table2[[#This Row],[Lifetime CO Reduction (tons)]]=0,"NA",Table2[[#This Row],[Upgrade Cost Per Unit]]/Table2[[#This Row],[Lifetime CO Reduction (tons)]]))</f>
        <v/>
      </c>
      <c r="BY206" s="180" t="str">
        <f>IF(Table2[[#This Row],[Counter Number]]="","",Table2[[#This Row],[Old ULSD Used (gal):]]*VLOOKUP(Table2[[#This Row],[Engine Model Year:]],EF!$A$2:$G$27,7,FALSE))</f>
        <v/>
      </c>
      <c r="BZ20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6" s="195" t="str">
        <f>IF(Table2[[#This Row],[Counter Number]]="","",Table2[[#This Row],[Old Bus CO2 Emissions (tons/yr)]]-Table2[[#This Row],[New Bus CO2 Emissions (tons/yr)]])</f>
        <v/>
      </c>
      <c r="CB206" s="188" t="str">
        <f>IF(Table2[[#This Row],[Counter Number]]="","",Table2[[#This Row],[Reduction Bus CO2 Emissions (tons/yr)]]/Table2[[#This Row],[Old Bus CO2 Emissions (tons/yr)]])</f>
        <v/>
      </c>
      <c r="CC206" s="195" t="str">
        <f>IF(Table2[[#This Row],[Counter Number]]="","",Table2[[#This Row],[Reduction Bus CO2 Emissions (tons/yr)]]*Table2[[#This Row],[Remaining Life:]])</f>
        <v/>
      </c>
      <c r="CD206" s="194" t="str">
        <f>IF(Table2[[#This Row],[Counter Number]]="","",IF(Table2[[#This Row],[Lifetime CO2 Reduction (tons)]]=0,"NA",Table2[[#This Row],[Upgrade Cost Per Unit]]/Table2[[#This Row],[Lifetime CO2 Reduction (tons)]]))</f>
        <v/>
      </c>
      <c r="CE206" s="182" t="str">
        <f>IF(Table2[[#This Row],[Counter Number]]="","",IF(Table2[[#This Row],[New ULSD Used (gal):]]="",Table2[[#This Row],[Old ULSD Used (gal):]],Table2[[#This Row],[Old ULSD Used (gal):]]-Table2[[#This Row],[New ULSD Used (gal):]]))</f>
        <v/>
      </c>
      <c r="CF206" s="196" t="str">
        <f>IF(Table2[[#This Row],[Counter Number]]="","",Table2[[#This Row],[Diesel Fuel Reduction (gal/yr)]]/Table2[[#This Row],[Old ULSD Used (gal):]])</f>
        <v/>
      </c>
      <c r="CG206" s="197" t="str">
        <f>IF(Table2[[#This Row],[Counter Number]]="","",Table2[[#This Row],[Diesel Fuel Reduction (gal/yr)]]*Table2[[#This Row],[Remaining Life:]])</f>
        <v/>
      </c>
    </row>
    <row r="207" spans="1:85">
      <c r="A207" s="184" t="str">
        <f>IF(A182&lt;Application!$D$24,A182+1,"")</f>
        <v/>
      </c>
      <c r="B207" s="60" t="str">
        <f>IF(Table2[[#This Row],[Counter Number]]="","",Application!$D$16)</f>
        <v/>
      </c>
      <c r="C207" s="60" t="str">
        <f>IF(Table2[[#This Row],[Counter Number]]="","",Application!$D$14)</f>
        <v/>
      </c>
      <c r="D207" s="60" t="str">
        <f>IF(Table2[[#This Row],[Counter Number]]="","",Table1[[#This Row],[Old Bus Number]])</f>
        <v/>
      </c>
      <c r="E207" s="60" t="str">
        <f>IF(Table2[[#This Row],[Counter Number]]="","",Application!$D$15)</f>
        <v/>
      </c>
      <c r="F207" s="60" t="str">
        <f>IF(Table2[[#This Row],[Counter Number]]="","","On Highway")</f>
        <v/>
      </c>
      <c r="G207" s="60" t="str">
        <f>IF(Table2[[#This Row],[Counter Number]]="","",I207)</f>
        <v/>
      </c>
      <c r="H207" s="60" t="str">
        <f>IF(Table2[[#This Row],[Counter Number]]="","","Georgia")</f>
        <v/>
      </c>
      <c r="I207" s="60" t="str">
        <f>IF(Table2[[#This Row],[Counter Number]]="","",Application!$D$16)</f>
        <v/>
      </c>
      <c r="J207" s="60" t="str">
        <f>IF(Table2[[#This Row],[Counter Number]]="","",Application!$D$21)</f>
        <v/>
      </c>
      <c r="K207" s="60" t="str">
        <f>IF(Table2[[#This Row],[Counter Number]]="","",Application!$J$21)</f>
        <v/>
      </c>
      <c r="L207" s="60" t="str">
        <f>IF(Table2[[#This Row],[Counter Number]]="","","School Bus")</f>
        <v/>
      </c>
      <c r="M207" s="60" t="str">
        <f>IF(Table2[[#This Row],[Counter Number]]="","","School Bus")</f>
        <v/>
      </c>
      <c r="N207" s="60" t="str">
        <f>IF(Table2[[#This Row],[Counter Number]]="","",1)</f>
        <v/>
      </c>
      <c r="O207" s="60" t="str">
        <f>IF(Table2[[#This Row],[Counter Number]]="","",Table1[[#This Row],[Vehicle Identification Number(s):]])</f>
        <v/>
      </c>
      <c r="P207" s="60" t="str">
        <f>IF(Table2[[#This Row],[Counter Number]]="","",Table1[[#This Row],[Old Bus Manufacturer:]])</f>
        <v/>
      </c>
      <c r="Q207" s="60" t="str">
        <f>IF(Table2[[#This Row],[Counter Number]]="","",Table1[[#This Row],[Vehicle Model:]])</f>
        <v/>
      </c>
      <c r="R207" s="165" t="str">
        <f>IF(Table2[[#This Row],[Counter Number]]="","",Table1[[#This Row],[Vehicle Model Year:]])</f>
        <v/>
      </c>
      <c r="S207" s="60" t="str">
        <f>IF(Table2[[#This Row],[Counter Number]]="","",Table1[[#This Row],[Engine Serial Number(s):]])</f>
        <v/>
      </c>
      <c r="T207" s="60" t="str">
        <f>IF(Table2[[#This Row],[Counter Number]]="","",Table1[[#This Row],[Engine Make:]])</f>
        <v/>
      </c>
      <c r="U207" s="60" t="str">
        <f>IF(Table2[[#This Row],[Counter Number]]="","",Table1[[#This Row],[Engine Model:]])</f>
        <v/>
      </c>
      <c r="V207" s="165" t="str">
        <f>IF(Table2[[#This Row],[Counter Number]]="","",Table1[[#This Row],[Engine Model Year:]])</f>
        <v/>
      </c>
      <c r="W207" s="60" t="str">
        <f>IF(Table2[[#This Row],[Counter Number]]="","","NA")</f>
        <v/>
      </c>
      <c r="X207" s="165" t="str">
        <f>IF(Table2[[#This Row],[Counter Number]]="","",Table1[[#This Row],[Engine Horsepower (HP):]])</f>
        <v/>
      </c>
      <c r="Y207" s="165" t="str">
        <f>IF(Table2[[#This Row],[Counter Number]]="","",Table1[[#This Row],[Engine Cylinder Displacement (L):]]&amp;" L")</f>
        <v/>
      </c>
      <c r="Z207" s="165" t="str">
        <f>IF(Table2[[#This Row],[Counter Number]]="","",Table1[[#This Row],[Engine Number of Cylinders:]])</f>
        <v/>
      </c>
      <c r="AA207" s="166" t="str">
        <f>IF(Table2[[#This Row],[Counter Number]]="","",Table1[[#This Row],[Engine Family Name:]])</f>
        <v/>
      </c>
      <c r="AB207" s="60" t="str">
        <f>IF(Table2[[#This Row],[Counter Number]]="","","ULSD")</f>
        <v/>
      </c>
      <c r="AC207" s="167" t="str">
        <f>IF(Table2[[#This Row],[Counter Number]]="","",Table2[[#This Row],[Annual Miles Traveled:]]/Table1[[#This Row],[Old Fuel (mpg)]])</f>
        <v/>
      </c>
      <c r="AD207" s="60" t="str">
        <f>IF(Table2[[#This Row],[Counter Number]]="","","NA")</f>
        <v/>
      </c>
      <c r="AE207" s="168" t="str">
        <f>IF(Table2[[#This Row],[Counter Number]]="","",Table1[[#This Row],[Annual Miles Traveled]])</f>
        <v/>
      </c>
      <c r="AF207" s="169" t="str">
        <f>IF(Table2[[#This Row],[Counter Number]]="","",Table1[[#This Row],[Annual Idling Hours:]])</f>
        <v/>
      </c>
      <c r="AG207" s="60" t="str">
        <f>IF(Table2[[#This Row],[Counter Number]]="","","NA")</f>
        <v/>
      </c>
      <c r="AH207" s="165" t="str">
        <f>IF(Table2[[#This Row],[Counter Number]]="","",IF(Application!$J$25="Set Policy",Table1[[#This Row],[Remaining Life (years)         Set Policy]],Table1[[#This Row],[Remaining Life (years)               Case-by-Case]]))</f>
        <v/>
      </c>
      <c r="AI207" s="165" t="str">
        <f>IF(Table2[[#This Row],[Counter Number]]="","",IF(Application!$J$25="Case-by-Case","NA",Table2[[#This Row],[Fiscal Year of EPA Funds Used:]]+Table2[[#This Row],[Remaining Life:]]))</f>
        <v/>
      </c>
      <c r="AJ207" s="165"/>
      <c r="AK207" s="170" t="str">
        <f>IF(Table2[[#This Row],[Counter Number]]="","",Application!$D$14+1)</f>
        <v/>
      </c>
      <c r="AL207" s="60" t="str">
        <f>IF(Table2[[#This Row],[Counter Number]]="","","Vehicle Replacement")</f>
        <v/>
      </c>
      <c r="AM20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7" s="171" t="str">
        <f>IF(Table2[[#This Row],[Counter Number]]="","",Table1[[#This Row],[Cost of New Bus:]])</f>
        <v/>
      </c>
      <c r="AO207" s="60" t="str">
        <f>IF(Table2[[#This Row],[Counter Number]]="","","NA")</f>
        <v/>
      </c>
      <c r="AP207" s="165" t="str">
        <f>IF(Table2[[#This Row],[Counter Number]]="","",Table1[[#This Row],[New Engine Model Year:]])</f>
        <v/>
      </c>
      <c r="AQ207" s="60" t="str">
        <f>IF(Table2[[#This Row],[Counter Number]]="","","NA")</f>
        <v/>
      </c>
      <c r="AR207" s="165" t="str">
        <f>IF(Table2[[#This Row],[Counter Number]]="","",Table1[[#This Row],[New Engine Horsepower (HP):]])</f>
        <v/>
      </c>
      <c r="AS207" s="60" t="str">
        <f>IF(Table2[[#This Row],[Counter Number]]="","","NA")</f>
        <v/>
      </c>
      <c r="AT207" s="165" t="str">
        <f>IF(Table2[[#This Row],[Counter Number]]="","",Table1[[#This Row],[New Engine Cylinder Displacement (L):]]&amp;" L")</f>
        <v/>
      </c>
      <c r="AU207" s="114" t="str">
        <f>IF(Table2[[#This Row],[Counter Number]]="","",Table1[[#This Row],[New Engine Number of Cylinders:]])</f>
        <v/>
      </c>
      <c r="AV207" s="60" t="str">
        <f>IF(Table2[[#This Row],[Counter Number]]="","",Table1[[#This Row],[New Engine Family Name:]])</f>
        <v/>
      </c>
      <c r="AW20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7" s="60" t="str">
        <f>IF(Table2[[#This Row],[Counter Number]]="","","NA")</f>
        <v/>
      </c>
      <c r="AY207" s="172" t="str">
        <f>IF(Table2[[#This Row],[Counter Number]]="","",IF(Table2[[#This Row],[New Engine Fuel Type:]]="ULSD",Table1[[#This Row],[Annual Miles Traveled]]/Table1[[#This Row],[New Fuel (mpg) if Diesel]],""))</f>
        <v/>
      </c>
      <c r="AZ207" s="60"/>
      <c r="BA207" s="173" t="str">
        <f>IF(Table2[[#This Row],[Counter Number]]="","",Table2[[#This Row],[Annual Miles Traveled:]]*VLOOKUP(Table2[[#This Row],[Engine Model Year:]],EFTable[],3,FALSE))</f>
        <v/>
      </c>
      <c r="BB207" s="173" t="str">
        <f>IF(Table2[[#This Row],[Counter Number]]="","",Table2[[#This Row],[Annual Miles Traveled:]]*IF(Table2[[#This Row],[New Engine Fuel Type:]]="ULSD",VLOOKUP(Table2[[#This Row],[New Engine Model Year:]],EFTable[],3,FALSE),VLOOKUP(Table2[[#This Row],[New Engine Fuel Type:]],EFTable[],3,FALSE)))</f>
        <v/>
      </c>
      <c r="BC207" s="187" t="str">
        <f>IF(Table2[[#This Row],[Counter Number]]="","",Table2[[#This Row],[Old Bus NOx Emissions (tons/yr)]]-Table2[[#This Row],[New Bus NOx Emissions (tons/yr)]])</f>
        <v/>
      </c>
      <c r="BD207" s="188" t="str">
        <f>IF(Table2[[#This Row],[Counter Number]]="","",Table2[[#This Row],[Reduction Bus NOx Emissions (tons/yr)]]/Table2[[#This Row],[Old Bus NOx Emissions (tons/yr)]])</f>
        <v/>
      </c>
      <c r="BE207" s="175" t="str">
        <f>IF(Table2[[#This Row],[Counter Number]]="","",Table2[[#This Row],[Reduction Bus NOx Emissions (tons/yr)]]*Table2[[#This Row],[Remaining Life:]])</f>
        <v/>
      </c>
      <c r="BF207" s="189" t="str">
        <f>IF(Table2[[#This Row],[Counter Number]]="","",IF(Table2[[#This Row],[Lifetime NOx Reduction (tons)]]=0,"NA",Table2[[#This Row],[Upgrade Cost Per Unit]]/Table2[[#This Row],[Lifetime NOx Reduction (tons)]]))</f>
        <v/>
      </c>
      <c r="BG207" s="190" t="str">
        <f>IF(Table2[[#This Row],[Counter Number]]="","",Table2[[#This Row],[Annual Miles Traveled:]]*VLOOKUP(Table2[[#This Row],[Engine Model Year:]],EF!$A$2:$G$27,4,FALSE))</f>
        <v/>
      </c>
      <c r="BH207" s="173" t="str">
        <f>IF(Table2[[#This Row],[Counter Number]]="","",Table2[[#This Row],[Annual Miles Traveled:]]*IF(Table2[[#This Row],[New Engine Fuel Type:]]="ULSD",VLOOKUP(Table2[[#This Row],[New Engine Model Year:]],EFTable[],4,FALSE),VLOOKUP(Table2[[#This Row],[New Engine Fuel Type:]],EFTable[],4,FALSE)))</f>
        <v/>
      </c>
      <c r="BI207" s="191" t="str">
        <f>IF(Table2[[#This Row],[Counter Number]]="","",Table2[[#This Row],[Old Bus PM2.5 Emissions (tons/yr)]]-Table2[[#This Row],[New Bus PM2.5 Emissions (tons/yr)]])</f>
        <v/>
      </c>
      <c r="BJ207" s="192" t="str">
        <f>IF(Table2[[#This Row],[Counter Number]]="","",Table2[[#This Row],[Reduction Bus PM2.5 Emissions (tons/yr)]]/Table2[[#This Row],[Old Bus PM2.5 Emissions (tons/yr)]])</f>
        <v/>
      </c>
      <c r="BK207" s="193" t="str">
        <f>IF(Table2[[#This Row],[Counter Number]]="","",Table2[[#This Row],[Reduction Bus PM2.5 Emissions (tons/yr)]]*Table2[[#This Row],[Remaining Life:]])</f>
        <v/>
      </c>
      <c r="BL207" s="194" t="str">
        <f>IF(Table2[[#This Row],[Counter Number]]="","",IF(Table2[[#This Row],[Lifetime PM2.5 Reduction (tons)]]=0,"NA",Table2[[#This Row],[Upgrade Cost Per Unit]]/Table2[[#This Row],[Lifetime PM2.5 Reduction (tons)]]))</f>
        <v/>
      </c>
      <c r="BM207" s="179" t="str">
        <f>IF(Table2[[#This Row],[Counter Number]]="","",Table2[[#This Row],[Annual Miles Traveled:]]*VLOOKUP(Table2[[#This Row],[Engine Model Year:]],EF!$A$2:$G$40,5,FALSE))</f>
        <v/>
      </c>
      <c r="BN207" s="173" t="str">
        <f>IF(Table2[[#This Row],[Counter Number]]="","",Table2[[#This Row],[Annual Miles Traveled:]]*IF(Table2[[#This Row],[New Engine Fuel Type:]]="ULSD",VLOOKUP(Table2[[#This Row],[New Engine Model Year:]],EFTable[],5,FALSE),VLOOKUP(Table2[[#This Row],[New Engine Fuel Type:]],EFTable[],5,FALSE)))</f>
        <v/>
      </c>
      <c r="BO207" s="190" t="str">
        <f>IF(Table2[[#This Row],[Counter Number]]="","",Table2[[#This Row],[Old Bus HC Emissions (tons/yr)]]-Table2[[#This Row],[New Bus HC Emissions (tons/yr)]])</f>
        <v/>
      </c>
      <c r="BP207" s="188" t="str">
        <f>IF(Table2[[#This Row],[Counter Number]]="","",Table2[[#This Row],[Reduction Bus HC Emissions (tons/yr)]]/Table2[[#This Row],[Old Bus HC Emissions (tons/yr)]])</f>
        <v/>
      </c>
      <c r="BQ207" s="193" t="str">
        <f>IF(Table2[[#This Row],[Counter Number]]="","",Table2[[#This Row],[Reduction Bus HC Emissions (tons/yr)]]*Table2[[#This Row],[Remaining Life:]])</f>
        <v/>
      </c>
      <c r="BR207" s="194" t="str">
        <f>IF(Table2[[#This Row],[Counter Number]]="","",IF(Table2[[#This Row],[Lifetime HC Reduction (tons)]]=0,"NA",Table2[[#This Row],[Upgrade Cost Per Unit]]/Table2[[#This Row],[Lifetime HC Reduction (tons)]]))</f>
        <v/>
      </c>
      <c r="BS207" s="191" t="str">
        <f>IF(Table2[[#This Row],[Counter Number]]="","",Table2[[#This Row],[Annual Miles Traveled:]]*VLOOKUP(Table2[[#This Row],[Engine Model Year:]],EF!$A$2:$G$27,6,FALSE))</f>
        <v/>
      </c>
      <c r="BT207" s="173" t="str">
        <f>IF(Table2[[#This Row],[Counter Number]]="","",Table2[[#This Row],[Annual Miles Traveled:]]*IF(Table2[[#This Row],[New Engine Fuel Type:]]="ULSD",VLOOKUP(Table2[[#This Row],[New Engine Model Year:]],EFTable[],6,FALSE),VLOOKUP(Table2[[#This Row],[New Engine Fuel Type:]],EFTable[],6,FALSE)))</f>
        <v/>
      </c>
      <c r="BU207" s="190" t="str">
        <f>IF(Table2[[#This Row],[Counter Number]]="","",Table2[[#This Row],[Old Bus CO Emissions (tons/yr)]]-Table2[[#This Row],[New Bus CO Emissions (tons/yr)]])</f>
        <v/>
      </c>
      <c r="BV207" s="188" t="str">
        <f>IF(Table2[[#This Row],[Counter Number]]="","",Table2[[#This Row],[Reduction Bus CO Emissions (tons/yr)]]/Table2[[#This Row],[Old Bus CO Emissions (tons/yr)]])</f>
        <v/>
      </c>
      <c r="BW207" s="193" t="str">
        <f>IF(Table2[[#This Row],[Counter Number]]="","",Table2[[#This Row],[Reduction Bus CO Emissions (tons/yr)]]*Table2[[#This Row],[Remaining Life:]])</f>
        <v/>
      </c>
      <c r="BX207" s="194" t="str">
        <f>IF(Table2[[#This Row],[Counter Number]]="","",IF(Table2[[#This Row],[Lifetime CO Reduction (tons)]]=0,"NA",Table2[[#This Row],[Upgrade Cost Per Unit]]/Table2[[#This Row],[Lifetime CO Reduction (tons)]]))</f>
        <v/>
      </c>
      <c r="BY207" s="180" t="str">
        <f>IF(Table2[[#This Row],[Counter Number]]="","",Table2[[#This Row],[Old ULSD Used (gal):]]*VLOOKUP(Table2[[#This Row],[Engine Model Year:]],EF!$A$2:$G$27,7,FALSE))</f>
        <v/>
      </c>
      <c r="BZ20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7" s="195" t="str">
        <f>IF(Table2[[#This Row],[Counter Number]]="","",Table2[[#This Row],[Old Bus CO2 Emissions (tons/yr)]]-Table2[[#This Row],[New Bus CO2 Emissions (tons/yr)]])</f>
        <v/>
      </c>
      <c r="CB207" s="188" t="str">
        <f>IF(Table2[[#This Row],[Counter Number]]="","",Table2[[#This Row],[Reduction Bus CO2 Emissions (tons/yr)]]/Table2[[#This Row],[Old Bus CO2 Emissions (tons/yr)]])</f>
        <v/>
      </c>
      <c r="CC207" s="195" t="str">
        <f>IF(Table2[[#This Row],[Counter Number]]="","",Table2[[#This Row],[Reduction Bus CO2 Emissions (tons/yr)]]*Table2[[#This Row],[Remaining Life:]])</f>
        <v/>
      </c>
      <c r="CD207" s="194" t="str">
        <f>IF(Table2[[#This Row],[Counter Number]]="","",IF(Table2[[#This Row],[Lifetime CO2 Reduction (tons)]]=0,"NA",Table2[[#This Row],[Upgrade Cost Per Unit]]/Table2[[#This Row],[Lifetime CO2 Reduction (tons)]]))</f>
        <v/>
      </c>
      <c r="CE207" s="182" t="str">
        <f>IF(Table2[[#This Row],[Counter Number]]="","",IF(Table2[[#This Row],[New ULSD Used (gal):]]="",Table2[[#This Row],[Old ULSD Used (gal):]],Table2[[#This Row],[Old ULSD Used (gal):]]-Table2[[#This Row],[New ULSD Used (gal):]]))</f>
        <v/>
      </c>
      <c r="CF207" s="196" t="str">
        <f>IF(Table2[[#This Row],[Counter Number]]="","",Table2[[#This Row],[Diesel Fuel Reduction (gal/yr)]]/Table2[[#This Row],[Old ULSD Used (gal):]])</f>
        <v/>
      </c>
      <c r="CG207" s="197" t="str">
        <f>IF(Table2[[#This Row],[Counter Number]]="","",Table2[[#This Row],[Diesel Fuel Reduction (gal/yr)]]*Table2[[#This Row],[Remaining Life:]])</f>
        <v/>
      </c>
    </row>
    <row r="208" spans="1:85">
      <c r="A208" s="184" t="str">
        <f>IF(A183&lt;Application!$D$24,A183+1,"")</f>
        <v/>
      </c>
      <c r="B208" s="60" t="str">
        <f>IF(Table2[[#This Row],[Counter Number]]="","",Application!$D$16)</f>
        <v/>
      </c>
      <c r="C208" s="60" t="str">
        <f>IF(Table2[[#This Row],[Counter Number]]="","",Application!$D$14)</f>
        <v/>
      </c>
      <c r="D208" s="60" t="str">
        <f>IF(Table2[[#This Row],[Counter Number]]="","",Table1[[#This Row],[Old Bus Number]])</f>
        <v/>
      </c>
      <c r="E208" s="60" t="str">
        <f>IF(Table2[[#This Row],[Counter Number]]="","",Application!$D$15)</f>
        <v/>
      </c>
      <c r="F208" s="60" t="str">
        <f>IF(Table2[[#This Row],[Counter Number]]="","","On Highway")</f>
        <v/>
      </c>
      <c r="G208" s="60" t="str">
        <f>IF(Table2[[#This Row],[Counter Number]]="","",I208)</f>
        <v/>
      </c>
      <c r="H208" s="60" t="str">
        <f>IF(Table2[[#This Row],[Counter Number]]="","","Georgia")</f>
        <v/>
      </c>
      <c r="I208" s="60" t="str">
        <f>IF(Table2[[#This Row],[Counter Number]]="","",Application!$D$16)</f>
        <v/>
      </c>
      <c r="J208" s="60" t="str">
        <f>IF(Table2[[#This Row],[Counter Number]]="","",Application!$D$21)</f>
        <v/>
      </c>
      <c r="K208" s="60" t="str">
        <f>IF(Table2[[#This Row],[Counter Number]]="","",Application!$J$21)</f>
        <v/>
      </c>
      <c r="L208" s="60" t="str">
        <f>IF(Table2[[#This Row],[Counter Number]]="","","School Bus")</f>
        <v/>
      </c>
      <c r="M208" s="60" t="str">
        <f>IF(Table2[[#This Row],[Counter Number]]="","","School Bus")</f>
        <v/>
      </c>
      <c r="N208" s="60" t="str">
        <f>IF(Table2[[#This Row],[Counter Number]]="","",1)</f>
        <v/>
      </c>
      <c r="O208" s="60" t="str">
        <f>IF(Table2[[#This Row],[Counter Number]]="","",Table1[[#This Row],[Vehicle Identification Number(s):]])</f>
        <v/>
      </c>
      <c r="P208" s="60" t="str">
        <f>IF(Table2[[#This Row],[Counter Number]]="","",Table1[[#This Row],[Old Bus Manufacturer:]])</f>
        <v/>
      </c>
      <c r="Q208" s="60" t="str">
        <f>IF(Table2[[#This Row],[Counter Number]]="","",Table1[[#This Row],[Vehicle Model:]])</f>
        <v/>
      </c>
      <c r="R208" s="165" t="str">
        <f>IF(Table2[[#This Row],[Counter Number]]="","",Table1[[#This Row],[Vehicle Model Year:]])</f>
        <v/>
      </c>
      <c r="S208" s="60" t="str">
        <f>IF(Table2[[#This Row],[Counter Number]]="","",Table1[[#This Row],[Engine Serial Number(s):]])</f>
        <v/>
      </c>
      <c r="T208" s="60" t="str">
        <f>IF(Table2[[#This Row],[Counter Number]]="","",Table1[[#This Row],[Engine Make:]])</f>
        <v/>
      </c>
      <c r="U208" s="60" t="str">
        <f>IF(Table2[[#This Row],[Counter Number]]="","",Table1[[#This Row],[Engine Model:]])</f>
        <v/>
      </c>
      <c r="V208" s="165" t="str">
        <f>IF(Table2[[#This Row],[Counter Number]]="","",Table1[[#This Row],[Engine Model Year:]])</f>
        <v/>
      </c>
      <c r="W208" s="60" t="str">
        <f>IF(Table2[[#This Row],[Counter Number]]="","","NA")</f>
        <v/>
      </c>
      <c r="X208" s="165" t="str">
        <f>IF(Table2[[#This Row],[Counter Number]]="","",Table1[[#This Row],[Engine Horsepower (HP):]])</f>
        <v/>
      </c>
      <c r="Y208" s="165" t="str">
        <f>IF(Table2[[#This Row],[Counter Number]]="","",Table1[[#This Row],[Engine Cylinder Displacement (L):]]&amp;" L")</f>
        <v/>
      </c>
      <c r="Z208" s="165" t="str">
        <f>IF(Table2[[#This Row],[Counter Number]]="","",Table1[[#This Row],[Engine Number of Cylinders:]])</f>
        <v/>
      </c>
      <c r="AA208" s="166" t="str">
        <f>IF(Table2[[#This Row],[Counter Number]]="","",Table1[[#This Row],[Engine Family Name:]])</f>
        <v/>
      </c>
      <c r="AB208" s="60" t="str">
        <f>IF(Table2[[#This Row],[Counter Number]]="","","ULSD")</f>
        <v/>
      </c>
      <c r="AC208" s="167" t="str">
        <f>IF(Table2[[#This Row],[Counter Number]]="","",Table2[[#This Row],[Annual Miles Traveled:]]/Table1[[#This Row],[Old Fuel (mpg)]])</f>
        <v/>
      </c>
      <c r="AD208" s="60" t="str">
        <f>IF(Table2[[#This Row],[Counter Number]]="","","NA")</f>
        <v/>
      </c>
      <c r="AE208" s="168" t="str">
        <f>IF(Table2[[#This Row],[Counter Number]]="","",Table1[[#This Row],[Annual Miles Traveled]])</f>
        <v/>
      </c>
      <c r="AF208" s="169" t="str">
        <f>IF(Table2[[#This Row],[Counter Number]]="","",Table1[[#This Row],[Annual Idling Hours:]])</f>
        <v/>
      </c>
      <c r="AG208" s="60" t="str">
        <f>IF(Table2[[#This Row],[Counter Number]]="","","NA")</f>
        <v/>
      </c>
      <c r="AH208" s="165" t="str">
        <f>IF(Table2[[#This Row],[Counter Number]]="","",IF(Application!$J$25="Set Policy",Table1[[#This Row],[Remaining Life (years)         Set Policy]],Table1[[#This Row],[Remaining Life (years)               Case-by-Case]]))</f>
        <v/>
      </c>
      <c r="AI208" s="165" t="str">
        <f>IF(Table2[[#This Row],[Counter Number]]="","",IF(Application!$J$25="Case-by-Case","NA",Table2[[#This Row],[Fiscal Year of EPA Funds Used:]]+Table2[[#This Row],[Remaining Life:]]))</f>
        <v/>
      </c>
      <c r="AJ208" s="165"/>
      <c r="AK208" s="170" t="str">
        <f>IF(Table2[[#This Row],[Counter Number]]="","",Application!$D$14+1)</f>
        <v/>
      </c>
      <c r="AL208" s="60" t="str">
        <f>IF(Table2[[#This Row],[Counter Number]]="","","Vehicle Replacement")</f>
        <v/>
      </c>
      <c r="AM20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8" s="171" t="str">
        <f>IF(Table2[[#This Row],[Counter Number]]="","",Table1[[#This Row],[Cost of New Bus:]])</f>
        <v/>
      </c>
      <c r="AO208" s="60" t="str">
        <f>IF(Table2[[#This Row],[Counter Number]]="","","NA")</f>
        <v/>
      </c>
      <c r="AP208" s="165" t="str">
        <f>IF(Table2[[#This Row],[Counter Number]]="","",Table1[[#This Row],[New Engine Model Year:]])</f>
        <v/>
      </c>
      <c r="AQ208" s="60" t="str">
        <f>IF(Table2[[#This Row],[Counter Number]]="","","NA")</f>
        <v/>
      </c>
      <c r="AR208" s="165" t="str">
        <f>IF(Table2[[#This Row],[Counter Number]]="","",Table1[[#This Row],[New Engine Horsepower (HP):]])</f>
        <v/>
      </c>
      <c r="AS208" s="60" t="str">
        <f>IF(Table2[[#This Row],[Counter Number]]="","","NA")</f>
        <v/>
      </c>
      <c r="AT208" s="165" t="str">
        <f>IF(Table2[[#This Row],[Counter Number]]="","",Table1[[#This Row],[New Engine Cylinder Displacement (L):]]&amp;" L")</f>
        <v/>
      </c>
      <c r="AU208" s="114" t="str">
        <f>IF(Table2[[#This Row],[Counter Number]]="","",Table1[[#This Row],[New Engine Number of Cylinders:]])</f>
        <v/>
      </c>
      <c r="AV208" s="60" t="str">
        <f>IF(Table2[[#This Row],[Counter Number]]="","",Table1[[#This Row],[New Engine Family Name:]])</f>
        <v/>
      </c>
      <c r="AW20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8" s="60" t="str">
        <f>IF(Table2[[#This Row],[Counter Number]]="","","NA")</f>
        <v/>
      </c>
      <c r="AY208" s="172" t="str">
        <f>IF(Table2[[#This Row],[Counter Number]]="","",IF(Table2[[#This Row],[New Engine Fuel Type:]]="ULSD",Table1[[#This Row],[Annual Miles Traveled]]/Table1[[#This Row],[New Fuel (mpg) if Diesel]],""))</f>
        <v/>
      </c>
      <c r="AZ208" s="60"/>
      <c r="BA208" s="173" t="str">
        <f>IF(Table2[[#This Row],[Counter Number]]="","",Table2[[#This Row],[Annual Miles Traveled:]]*VLOOKUP(Table2[[#This Row],[Engine Model Year:]],EFTable[],3,FALSE))</f>
        <v/>
      </c>
      <c r="BB208" s="173" t="str">
        <f>IF(Table2[[#This Row],[Counter Number]]="","",Table2[[#This Row],[Annual Miles Traveled:]]*IF(Table2[[#This Row],[New Engine Fuel Type:]]="ULSD",VLOOKUP(Table2[[#This Row],[New Engine Model Year:]],EFTable[],3,FALSE),VLOOKUP(Table2[[#This Row],[New Engine Fuel Type:]],EFTable[],3,FALSE)))</f>
        <v/>
      </c>
      <c r="BC208" s="187" t="str">
        <f>IF(Table2[[#This Row],[Counter Number]]="","",Table2[[#This Row],[Old Bus NOx Emissions (tons/yr)]]-Table2[[#This Row],[New Bus NOx Emissions (tons/yr)]])</f>
        <v/>
      </c>
      <c r="BD208" s="188" t="str">
        <f>IF(Table2[[#This Row],[Counter Number]]="","",Table2[[#This Row],[Reduction Bus NOx Emissions (tons/yr)]]/Table2[[#This Row],[Old Bus NOx Emissions (tons/yr)]])</f>
        <v/>
      </c>
      <c r="BE208" s="175" t="str">
        <f>IF(Table2[[#This Row],[Counter Number]]="","",Table2[[#This Row],[Reduction Bus NOx Emissions (tons/yr)]]*Table2[[#This Row],[Remaining Life:]])</f>
        <v/>
      </c>
      <c r="BF208" s="189" t="str">
        <f>IF(Table2[[#This Row],[Counter Number]]="","",IF(Table2[[#This Row],[Lifetime NOx Reduction (tons)]]=0,"NA",Table2[[#This Row],[Upgrade Cost Per Unit]]/Table2[[#This Row],[Lifetime NOx Reduction (tons)]]))</f>
        <v/>
      </c>
      <c r="BG208" s="190" t="str">
        <f>IF(Table2[[#This Row],[Counter Number]]="","",Table2[[#This Row],[Annual Miles Traveled:]]*VLOOKUP(Table2[[#This Row],[Engine Model Year:]],EF!$A$2:$G$27,4,FALSE))</f>
        <v/>
      </c>
      <c r="BH208" s="173" t="str">
        <f>IF(Table2[[#This Row],[Counter Number]]="","",Table2[[#This Row],[Annual Miles Traveled:]]*IF(Table2[[#This Row],[New Engine Fuel Type:]]="ULSD",VLOOKUP(Table2[[#This Row],[New Engine Model Year:]],EFTable[],4,FALSE),VLOOKUP(Table2[[#This Row],[New Engine Fuel Type:]],EFTable[],4,FALSE)))</f>
        <v/>
      </c>
      <c r="BI208" s="191" t="str">
        <f>IF(Table2[[#This Row],[Counter Number]]="","",Table2[[#This Row],[Old Bus PM2.5 Emissions (tons/yr)]]-Table2[[#This Row],[New Bus PM2.5 Emissions (tons/yr)]])</f>
        <v/>
      </c>
      <c r="BJ208" s="192" t="str">
        <f>IF(Table2[[#This Row],[Counter Number]]="","",Table2[[#This Row],[Reduction Bus PM2.5 Emissions (tons/yr)]]/Table2[[#This Row],[Old Bus PM2.5 Emissions (tons/yr)]])</f>
        <v/>
      </c>
      <c r="BK208" s="193" t="str">
        <f>IF(Table2[[#This Row],[Counter Number]]="","",Table2[[#This Row],[Reduction Bus PM2.5 Emissions (tons/yr)]]*Table2[[#This Row],[Remaining Life:]])</f>
        <v/>
      </c>
      <c r="BL208" s="194" t="str">
        <f>IF(Table2[[#This Row],[Counter Number]]="","",IF(Table2[[#This Row],[Lifetime PM2.5 Reduction (tons)]]=0,"NA",Table2[[#This Row],[Upgrade Cost Per Unit]]/Table2[[#This Row],[Lifetime PM2.5 Reduction (tons)]]))</f>
        <v/>
      </c>
      <c r="BM208" s="179" t="str">
        <f>IF(Table2[[#This Row],[Counter Number]]="","",Table2[[#This Row],[Annual Miles Traveled:]]*VLOOKUP(Table2[[#This Row],[Engine Model Year:]],EF!$A$2:$G$40,5,FALSE))</f>
        <v/>
      </c>
      <c r="BN208" s="173" t="str">
        <f>IF(Table2[[#This Row],[Counter Number]]="","",Table2[[#This Row],[Annual Miles Traveled:]]*IF(Table2[[#This Row],[New Engine Fuel Type:]]="ULSD",VLOOKUP(Table2[[#This Row],[New Engine Model Year:]],EFTable[],5,FALSE),VLOOKUP(Table2[[#This Row],[New Engine Fuel Type:]],EFTable[],5,FALSE)))</f>
        <v/>
      </c>
      <c r="BO208" s="190" t="str">
        <f>IF(Table2[[#This Row],[Counter Number]]="","",Table2[[#This Row],[Old Bus HC Emissions (tons/yr)]]-Table2[[#This Row],[New Bus HC Emissions (tons/yr)]])</f>
        <v/>
      </c>
      <c r="BP208" s="188" t="str">
        <f>IF(Table2[[#This Row],[Counter Number]]="","",Table2[[#This Row],[Reduction Bus HC Emissions (tons/yr)]]/Table2[[#This Row],[Old Bus HC Emissions (tons/yr)]])</f>
        <v/>
      </c>
      <c r="BQ208" s="193" t="str">
        <f>IF(Table2[[#This Row],[Counter Number]]="","",Table2[[#This Row],[Reduction Bus HC Emissions (tons/yr)]]*Table2[[#This Row],[Remaining Life:]])</f>
        <v/>
      </c>
      <c r="BR208" s="194" t="str">
        <f>IF(Table2[[#This Row],[Counter Number]]="","",IF(Table2[[#This Row],[Lifetime HC Reduction (tons)]]=0,"NA",Table2[[#This Row],[Upgrade Cost Per Unit]]/Table2[[#This Row],[Lifetime HC Reduction (tons)]]))</f>
        <v/>
      </c>
      <c r="BS208" s="191" t="str">
        <f>IF(Table2[[#This Row],[Counter Number]]="","",Table2[[#This Row],[Annual Miles Traveled:]]*VLOOKUP(Table2[[#This Row],[Engine Model Year:]],EF!$A$2:$G$27,6,FALSE))</f>
        <v/>
      </c>
      <c r="BT208" s="173" t="str">
        <f>IF(Table2[[#This Row],[Counter Number]]="","",Table2[[#This Row],[Annual Miles Traveled:]]*IF(Table2[[#This Row],[New Engine Fuel Type:]]="ULSD",VLOOKUP(Table2[[#This Row],[New Engine Model Year:]],EFTable[],6,FALSE),VLOOKUP(Table2[[#This Row],[New Engine Fuel Type:]],EFTable[],6,FALSE)))</f>
        <v/>
      </c>
      <c r="BU208" s="190" t="str">
        <f>IF(Table2[[#This Row],[Counter Number]]="","",Table2[[#This Row],[Old Bus CO Emissions (tons/yr)]]-Table2[[#This Row],[New Bus CO Emissions (tons/yr)]])</f>
        <v/>
      </c>
      <c r="BV208" s="188" t="str">
        <f>IF(Table2[[#This Row],[Counter Number]]="","",Table2[[#This Row],[Reduction Bus CO Emissions (tons/yr)]]/Table2[[#This Row],[Old Bus CO Emissions (tons/yr)]])</f>
        <v/>
      </c>
      <c r="BW208" s="193" t="str">
        <f>IF(Table2[[#This Row],[Counter Number]]="","",Table2[[#This Row],[Reduction Bus CO Emissions (tons/yr)]]*Table2[[#This Row],[Remaining Life:]])</f>
        <v/>
      </c>
      <c r="BX208" s="194" t="str">
        <f>IF(Table2[[#This Row],[Counter Number]]="","",IF(Table2[[#This Row],[Lifetime CO Reduction (tons)]]=0,"NA",Table2[[#This Row],[Upgrade Cost Per Unit]]/Table2[[#This Row],[Lifetime CO Reduction (tons)]]))</f>
        <v/>
      </c>
      <c r="BY208" s="180" t="str">
        <f>IF(Table2[[#This Row],[Counter Number]]="","",Table2[[#This Row],[Old ULSD Used (gal):]]*VLOOKUP(Table2[[#This Row],[Engine Model Year:]],EF!$A$2:$G$27,7,FALSE))</f>
        <v/>
      </c>
      <c r="BZ20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8" s="195" t="str">
        <f>IF(Table2[[#This Row],[Counter Number]]="","",Table2[[#This Row],[Old Bus CO2 Emissions (tons/yr)]]-Table2[[#This Row],[New Bus CO2 Emissions (tons/yr)]])</f>
        <v/>
      </c>
      <c r="CB208" s="188" t="str">
        <f>IF(Table2[[#This Row],[Counter Number]]="","",Table2[[#This Row],[Reduction Bus CO2 Emissions (tons/yr)]]/Table2[[#This Row],[Old Bus CO2 Emissions (tons/yr)]])</f>
        <v/>
      </c>
      <c r="CC208" s="195" t="str">
        <f>IF(Table2[[#This Row],[Counter Number]]="","",Table2[[#This Row],[Reduction Bus CO2 Emissions (tons/yr)]]*Table2[[#This Row],[Remaining Life:]])</f>
        <v/>
      </c>
      <c r="CD208" s="194" t="str">
        <f>IF(Table2[[#This Row],[Counter Number]]="","",IF(Table2[[#This Row],[Lifetime CO2 Reduction (tons)]]=0,"NA",Table2[[#This Row],[Upgrade Cost Per Unit]]/Table2[[#This Row],[Lifetime CO2 Reduction (tons)]]))</f>
        <v/>
      </c>
      <c r="CE208" s="182" t="str">
        <f>IF(Table2[[#This Row],[Counter Number]]="","",IF(Table2[[#This Row],[New ULSD Used (gal):]]="",Table2[[#This Row],[Old ULSD Used (gal):]],Table2[[#This Row],[Old ULSD Used (gal):]]-Table2[[#This Row],[New ULSD Used (gal):]]))</f>
        <v/>
      </c>
      <c r="CF208" s="196" t="str">
        <f>IF(Table2[[#This Row],[Counter Number]]="","",Table2[[#This Row],[Diesel Fuel Reduction (gal/yr)]]/Table2[[#This Row],[Old ULSD Used (gal):]])</f>
        <v/>
      </c>
      <c r="CG208" s="197" t="str">
        <f>IF(Table2[[#This Row],[Counter Number]]="","",Table2[[#This Row],[Diesel Fuel Reduction (gal/yr)]]*Table2[[#This Row],[Remaining Life:]])</f>
        <v/>
      </c>
    </row>
    <row r="209" spans="1:85">
      <c r="A209" s="184" t="str">
        <f>IF(A184&lt;Application!$D$24,A184+1,"")</f>
        <v/>
      </c>
      <c r="B209" s="60" t="str">
        <f>IF(Table2[[#This Row],[Counter Number]]="","",Application!$D$16)</f>
        <v/>
      </c>
      <c r="C209" s="60" t="str">
        <f>IF(Table2[[#This Row],[Counter Number]]="","",Application!$D$14)</f>
        <v/>
      </c>
      <c r="D209" s="60" t="str">
        <f>IF(Table2[[#This Row],[Counter Number]]="","",Table1[[#This Row],[Old Bus Number]])</f>
        <v/>
      </c>
      <c r="E209" s="60" t="str">
        <f>IF(Table2[[#This Row],[Counter Number]]="","",Application!$D$15)</f>
        <v/>
      </c>
      <c r="F209" s="60" t="str">
        <f>IF(Table2[[#This Row],[Counter Number]]="","","On Highway")</f>
        <v/>
      </c>
      <c r="G209" s="60" t="str">
        <f>IF(Table2[[#This Row],[Counter Number]]="","",I209)</f>
        <v/>
      </c>
      <c r="H209" s="60" t="str">
        <f>IF(Table2[[#This Row],[Counter Number]]="","","Georgia")</f>
        <v/>
      </c>
      <c r="I209" s="60" t="str">
        <f>IF(Table2[[#This Row],[Counter Number]]="","",Application!$D$16)</f>
        <v/>
      </c>
      <c r="J209" s="60" t="str">
        <f>IF(Table2[[#This Row],[Counter Number]]="","",Application!$D$21)</f>
        <v/>
      </c>
      <c r="K209" s="60" t="str">
        <f>IF(Table2[[#This Row],[Counter Number]]="","",Application!$J$21)</f>
        <v/>
      </c>
      <c r="L209" s="60" t="str">
        <f>IF(Table2[[#This Row],[Counter Number]]="","","School Bus")</f>
        <v/>
      </c>
      <c r="M209" s="60" t="str">
        <f>IF(Table2[[#This Row],[Counter Number]]="","","School Bus")</f>
        <v/>
      </c>
      <c r="N209" s="60" t="str">
        <f>IF(Table2[[#This Row],[Counter Number]]="","",1)</f>
        <v/>
      </c>
      <c r="O209" s="60" t="str">
        <f>IF(Table2[[#This Row],[Counter Number]]="","",Table1[[#This Row],[Vehicle Identification Number(s):]])</f>
        <v/>
      </c>
      <c r="P209" s="60" t="str">
        <f>IF(Table2[[#This Row],[Counter Number]]="","",Table1[[#This Row],[Old Bus Manufacturer:]])</f>
        <v/>
      </c>
      <c r="Q209" s="60" t="str">
        <f>IF(Table2[[#This Row],[Counter Number]]="","",Table1[[#This Row],[Vehicle Model:]])</f>
        <v/>
      </c>
      <c r="R209" s="165" t="str">
        <f>IF(Table2[[#This Row],[Counter Number]]="","",Table1[[#This Row],[Vehicle Model Year:]])</f>
        <v/>
      </c>
      <c r="S209" s="60" t="str">
        <f>IF(Table2[[#This Row],[Counter Number]]="","",Table1[[#This Row],[Engine Serial Number(s):]])</f>
        <v/>
      </c>
      <c r="T209" s="60" t="str">
        <f>IF(Table2[[#This Row],[Counter Number]]="","",Table1[[#This Row],[Engine Make:]])</f>
        <v/>
      </c>
      <c r="U209" s="60" t="str">
        <f>IF(Table2[[#This Row],[Counter Number]]="","",Table1[[#This Row],[Engine Model:]])</f>
        <v/>
      </c>
      <c r="V209" s="165" t="str">
        <f>IF(Table2[[#This Row],[Counter Number]]="","",Table1[[#This Row],[Engine Model Year:]])</f>
        <v/>
      </c>
      <c r="W209" s="60" t="str">
        <f>IF(Table2[[#This Row],[Counter Number]]="","","NA")</f>
        <v/>
      </c>
      <c r="X209" s="165" t="str">
        <f>IF(Table2[[#This Row],[Counter Number]]="","",Table1[[#This Row],[Engine Horsepower (HP):]])</f>
        <v/>
      </c>
      <c r="Y209" s="165" t="str">
        <f>IF(Table2[[#This Row],[Counter Number]]="","",Table1[[#This Row],[Engine Cylinder Displacement (L):]]&amp;" L")</f>
        <v/>
      </c>
      <c r="Z209" s="165" t="str">
        <f>IF(Table2[[#This Row],[Counter Number]]="","",Table1[[#This Row],[Engine Number of Cylinders:]])</f>
        <v/>
      </c>
      <c r="AA209" s="166" t="str">
        <f>IF(Table2[[#This Row],[Counter Number]]="","",Table1[[#This Row],[Engine Family Name:]])</f>
        <v/>
      </c>
      <c r="AB209" s="60" t="str">
        <f>IF(Table2[[#This Row],[Counter Number]]="","","ULSD")</f>
        <v/>
      </c>
      <c r="AC209" s="167" t="str">
        <f>IF(Table2[[#This Row],[Counter Number]]="","",Table2[[#This Row],[Annual Miles Traveled:]]/Table1[[#This Row],[Old Fuel (mpg)]])</f>
        <v/>
      </c>
      <c r="AD209" s="60" t="str">
        <f>IF(Table2[[#This Row],[Counter Number]]="","","NA")</f>
        <v/>
      </c>
      <c r="AE209" s="168" t="str">
        <f>IF(Table2[[#This Row],[Counter Number]]="","",Table1[[#This Row],[Annual Miles Traveled]])</f>
        <v/>
      </c>
      <c r="AF209" s="169" t="str">
        <f>IF(Table2[[#This Row],[Counter Number]]="","",Table1[[#This Row],[Annual Idling Hours:]])</f>
        <v/>
      </c>
      <c r="AG209" s="60" t="str">
        <f>IF(Table2[[#This Row],[Counter Number]]="","","NA")</f>
        <v/>
      </c>
      <c r="AH209" s="165" t="str">
        <f>IF(Table2[[#This Row],[Counter Number]]="","",IF(Application!$J$25="Set Policy",Table1[[#This Row],[Remaining Life (years)         Set Policy]],Table1[[#This Row],[Remaining Life (years)               Case-by-Case]]))</f>
        <v/>
      </c>
      <c r="AI209" s="165" t="str">
        <f>IF(Table2[[#This Row],[Counter Number]]="","",IF(Application!$J$25="Case-by-Case","NA",Table2[[#This Row],[Fiscal Year of EPA Funds Used:]]+Table2[[#This Row],[Remaining Life:]]))</f>
        <v/>
      </c>
      <c r="AJ209" s="165"/>
      <c r="AK209" s="170" t="str">
        <f>IF(Table2[[#This Row],[Counter Number]]="","",Application!$D$14+1)</f>
        <v/>
      </c>
      <c r="AL209" s="60" t="str">
        <f>IF(Table2[[#This Row],[Counter Number]]="","","Vehicle Replacement")</f>
        <v/>
      </c>
      <c r="AM20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9" s="171" t="str">
        <f>IF(Table2[[#This Row],[Counter Number]]="","",Table1[[#This Row],[Cost of New Bus:]])</f>
        <v/>
      </c>
      <c r="AO209" s="60" t="str">
        <f>IF(Table2[[#This Row],[Counter Number]]="","","NA")</f>
        <v/>
      </c>
      <c r="AP209" s="165" t="str">
        <f>IF(Table2[[#This Row],[Counter Number]]="","",Table1[[#This Row],[New Engine Model Year:]])</f>
        <v/>
      </c>
      <c r="AQ209" s="60" t="str">
        <f>IF(Table2[[#This Row],[Counter Number]]="","","NA")</f>
        <v/>
      </c>
      <c r="AR209" s="165" t="str">
        <f>IF(Table2[[#This Row],[Counter Number]]="","",Table1[[#This Row],[New Engine Horsepower (HP):]])</f>
        <v/>
      </c>
      <c r="AS209" s="60" t="str">
        <f>IF(Table2[[#This Row],[Counter Number]]="","","NA")</f>
        <v/>
      </c>
      <c r="AT209" s="165" t="str">
        <f>IF(Table2[[#This Row],[Counter Number]]="","",Table1[[#This Row],[New Engine Cylinder Displacement (L):]]&amp;" L")</f>
        <v/>
      </c>
      <c r="AU209" s="114" t="str">
        <f>IF(Table2[[#This Row],[Counter Number]]="","",Table1[[#This Row],[New Engine Number of Cylinders:]])</f>
        <v/>
      </c>
      <c r="AV209" s="60" t="str">
        <f>IF(Table2[[#This Row],[Counter Number]]="","",Table1[[#This Row],[New Engine Family Name:]])</f>
        <v/>
      </c>
      <c r="AW20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9" s="60" t="str">
        <f>IF(Table2[[#This Row],[Counter Number]]="","","NA")</f>
        <v/>
      </c>
      <c r="AY209" s="172" t="str">
        <f>IF(Table2[[#This Row],[Counter Number]]="","",IF(Table2[[#This Row],[New Engine Fuel Type:]]="ULSD",Table1[[#This Row],[Annual Miles Traveled]]/Table1[[#This Row],[New Fuel (mpg) if Diesel]],""))</f>
        <v/>
      </c>
      <c r="AZ209" s="60"/>
      <c r="BA209" s="173" t="str">
        <f>IF(Table2[[#This Row],[Counter Number]]="","",Table2[[#This Row],[Annual Miles Traveled:]]*VLOOKUP(Table2[[#This Row],[Engine Model Year:]],EFTable[],3,FALSE))</f>
        <v/>
      </c>
      <c r="BB209" s="173" t="str">
        <f>IF(Table2[[#This Row],[Counter Number]]="","",Table2[[#This Row],[Annual Miles Traveled:]]*IF(Table2[[#This Row],[New Engine Fuel Type:]]="ULSD",VLOOKUP(Table2[[#This Row],[New Engine Model Year:]],EFTable[],3,FALSE),VLOOKUP(Table2[[#This Row],[New Engine Fuel Type:]],EFTable[],3,FALSE)))</f>
        <v/>
      </c>
      <c r="BC209" s="187" t="str">
        <f>IF(Table2[[#This Row],[Counter Number]]="","",Table2[[#This Row],[Old Bus NOx Emissions (tons/yr)]]-Table2[[#This Row],[New Bus NOx Emissions (tons/yr)]])</f>
        <v/>
      </c>
      <c r="BD209" s="188" t="str">
        <f>IF(Table2[[#This Row],[Counter Number]]="","",Table2[[#This Row],[Reduction Bus NOx Emissions (tons/yr)]]/Table2[[#This Row],[Old Bus NOx Emissions (tons/yr)]])</f>
        <v/>
      </c>
      <c r="BE209" s="175" t="str">
        <f>IF(Table2[[#This Row],[Counter Number]]="","",Table2[[#This Row],[Reduction Bus NOx Emissions (tons/yr)]]*Table2[[#This Row],[Remaining Life:]])</f>
        <v/>
      </c>
      <c r="BF209" s="189" t="str">
        <f>IF(Table2[[#This Row],[Counter Number]]="","",IF(Table2[[#This Row],[Lifetime NOx Reduction (tons)]]=0,"NA",Table2[[#This Row],[Upgrade Cost Per Unit]]/Table2[[#This Row],[Lifetime NOx Reduction (tons)]]))</f>
        <v/>
      </c>
      <c r="BG209" s="190" t="str">
        <f>IF(Table2[[#This Row],[Counter Number]]="","",Table2[[#This Row],[Annual Miles Traveled:]]*VLOOKUP(Table2[[#This Row],[Engine Model Year:]],EF!$A$2:$G$27,4,FALSE))</f>
        <v/>
      </c>
      <c r="BH209" s="173" t="str">
        <f>IF(Table2[[#This Row],[Counter Number]]="","",Table2[[#This Row],[Annual Miles Traveled:]]*IF(Table2[[#This Row],[New Engine Fuel Type:]]="ULSD",VLOOKUP(Table2[[#This Row],[New Engine Model Year:]],EFTable[],4,FALSE),VLOOKUP(Table2[[#This Row],[New Engine Fuel Type:]],EFTable[],4,FALSE)))</f>
        <v/>
      </c>
      <c r="BI209" s="191" t="str">
        <f>IF(Table2[[#This Row],[Counter Number]]="","",Table2[[#This Row],[Old Bus PM2.5 Emissions (tons/yr)]]-Table2[[#This Row],[New Bus PM2.5 Emissions (tons/yr)]])</f>
        <v/>
      </c>
      <c r="BJ209" s="192" t="str">
        <f>IF(Table2[[#This Row],[Counter Number]]="","",Table2[[#This Row],[Reduction Bus PM2.5 Emissions (tons/yr)]]/Table2[[#This Row],[Old Bus PM2.5 Emissions (tons/yr)]])</f>
        <v/>
      </c>
      <c r="BK209" s="193" t="str">
        <f>IF(Table2[[#This Row],[Counter Number]]="","",Table2[[#This Row],[Reduction Bus PM2.5 Emissions (tons/yr)]]*Table2[[#This Row],[Remaining Life:]])</f>
        <v/>
      </c>
      <c r="BL209" s="194" t="str">
        <f>IF(Table2[[#This Row],[Counter Number]]="","",IF(Table2[[#This Row],[Lifetime PM2.5 Reduction (tons)]]=0,"NA",Table2[[#This Row],[Upgrade Cost Per Unit]]/Table2[[#This Row],[Lifetime PM2.5 Reduction (tons)]]))</f>
        <v/>
      </c>
      <c r="BM209" s="179" t="str">
        <f>IF(Table2[[#This Row],[Counter Number]]="","",Table2[[#This Row],[Annual Miles Traveled:]]*VLOOKUP(Table2[[#This Row],[Engine Model Year:]],EF!$A$2:$G$40,5,FALSE))</f>
        <v/>
      </c>
      <c r="BN209" s="173" t="str">
        <f>IF(Table2[[#This Row],[Counter Number]]="","",Table2[[#This Row],[Annual Miles Traveled:]]*IF(Table2[[#This Row],[New Engine Fuel Type:]]="ULSD",VLOOKUP(Table2[[#This Row],[New Engine Model Year:]],EFTable[],5,FALSE),VLOOKUP(Table2[[#This Row],[New Engine Fuel Type:]],EFTable[],5,FALSE)))</f>
        <v/>
      </c>
      <c r="BO209" s="190" t="str">
        <f>IF(Table2[[#This Row],[Counter Number]]="","",Table2[[#This Row],[Old Bus HC Emissions (tons/yr)]]-Table2[[#This Row],[New Bus HC Emissions (tons/yr)]])</f>
        <v/>
      </c>
      <c r="BP209" s="188" t="str">
        <f>IF(Table2[[#This Row],[Counter Number]]="","",Table2[[#This Row],[Reduction Bus HC Emissions (tons/yr)]]/Table2[[#This Row],[Old Bus HC Emissions (tons/yr)]])</f>
        <v/>
      </c>
      <c r="BQ209" s="193" t="str">
        <f>IF(Table2[[#This Row],[Counter Number]]="","",Table2[[#This Row],[Reduction Bus HC Emissions (tons/yr)]]*Table2[[#This Row],[Remaining Life:]])</f>
        <v/>
      </c>
      <c r="BR209" s="194" t="str">
        <f>IF(Table2[[#This Row],[Counter Number]]="","",IF(Table2[[#This Row],[Lifetime HC Reduction (tons)]]=0,"NA",Table2[[#This Row],[Upgrade Cost Per Unit]]/Table2[[#This Row],[Lifetime HC Reduction (tons)]]))</f>
        <v/>
      </c>
      <c r="BS209" s="191" t="str">
        <f>IF(Table2[[#This Row],[Counter Number]]="","",Table2[[#This Row],[Annual Miles Traveled:]]*VLOOKUP(Table2[[#This Row],[Engine Model Year:]],EF!$A$2:$G$27,6,FALSE))</f>
        <v/>
      </c>
      <c r="BT209" s="173" t="str">
        <f>IF(Table2[[#This Row],[Counter Number]]="","",Table2[[#This Row],[Annual Miles Traveled:]]*IF(Table2[[#This Row],[New Engine Fuel Type:]]="ULSD",VLOOKUP(Table2[[#This Row],[New Engine Model Year:]],EFTable[],6,FALSE),VLOOKUP(Table2[[#This Row],[New Engine Fuel Type:]],EFTable[],6,FALSE)))</f>
        <v/>
      </c>
      <c r="BU209" s="190" t="str">
        <f>IF(Table2[[#This Row],[Counter Number]]="","",Table2[[#This Row],[Old Bus CO Emissions (tons/yr)]]-Table2[[#This Row],[New Bus CO Emissions (tons/yr)]])</f>
        <v/>
      </c>
      <c r="BV209" s="188" t="str">
        <f>IF(Table2[[#This Row],[Counter Number]]="","",Table2[[#This Row],[Reduction Bus CO Emissions (tons/yr)]]/Table2[[#This Row],[Old Bus CO Emissions (tons/yr)]])</f>
        <v/>
      </c>
      <c r="BW209" s="193" t="str">
        <f>IF(Table2[[#This Row],[Counter Number]]="","",Table2[[#This Row],[Reduction Bus CO Emissions (tons/yr)]]*Table2[[#This Row],[Remaining Life:]])</f>
        <v/>
      </c>
      <c r="BX209" s="194" t="str">
        <f>IF(Table2[[#This Row],[Counter Number]]="","",IF(Table2[[#This Row],[Lifetime CO Reduction (tons)]]=0,"NA",Table2[[#This Row],[Upgrade Cost Per Unit]]/Table2[[#This Row],[Lifetime CO Reduction (tons)]]))</f>
        <v/>
      </c>
      <c r="BY209" s="180" t="str">
        <f>IF(Table2[[#This Row],[Counter Number]]="","",Table2[[#This Row],[Old ULSD Used (gal):]]*VLOOKUP(Table2[[#This Row],[Engine Model Year:]],EF!$A$2:$G$27,7,FALSE))</f>
        <v/>
      </c>
      <c r="BZ20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9" s="195" t="str">
        <f>IF(Table2[[#This Row],[Counter Number]]="","",Table2[[#This Row],[Old Bus CO2 Emissions (tons/yr)]]-Table2[[#This Row],[New Bus CO2 Emissions (tons/yr)]])</f>
        <v/>
      </c>
      <c r="CB209" s="188" t="str">
        <f>IF(Table2[[#This Row],[Counter Number]]="","",Table2[[#This Row],[Reduction Bus CO2 Emissions (tons/yr)]]/Table2[[#This Row],[Old Bus CO2 Emissions (tons/yr)]])</f>
        <v/>
      </c>
      <c r="CC209" s="195" t="str">
        <f>IF(Table2[[#This Row],[Counter Number]]="","",Table2[[#This Row],[Reduction Bus CO2 Emissions (tons/yr)]]*Table2[[#This Row],[Remaining Life:]])</f>
        <v/>
      </c>
      <c r="CD209" s="194" t="str">
        <f>IF(Table2[[#This Row],[Counter Number]]="","",IF(Table2[[#This Row],[Lifetime CO2 Reduction (tons)]]=0,"NA",Table2[[#This Row],[Upgrade Cost Per Unit]]/Table2[[#This Row],[Lifetime CO2 Reduction (tons)]]))</f>
        <v/>
      </c>
      <c r="CE209" s="182" t="str">
        <f>IF(Table2[[#This Row],[Counter Number]]="","",IF(Table2[[#This Row],[New ULSD Used (gal):]]="",Table2[[#This Row],[Old ULSD Used (gal):]],Table2[[#This Row],[Old ULSD Used (gal):]]-Table2[[#This Row],[New ULSD Used (gal):]]))</f>
        <v/>
      </c>
      <c r="CF209" s="196" t="str">
        <f>IF(Table2[[#This Row],[Counter Number]]="","",Table2[[#This Row],[Diesel Fuel Reduction (gal/yr)]]/Table2[[#This Row],[Old ULSD Used (gal):]])</f>
        <v/>
      </c>
      <c r="CG209" s="197" t="str">
        <f>IF(Table2[[#This Row],[Counter Number]]="","",Table2[[#This Row],[Diesel Fuel Reduction (gal/yr)]]*Table2[[#This Row],[Remaining Life:]])</f>
        <v/>
      </c>
    </row>
    <row r="210" spans="1:85">
      <c r="A210" s="184" t="str">
        <f>IF(A185&lt;Application!$D$24,A185+1,"")</f>
        <v/>
      </c>
      <c r="B210" s="60" t="str">
        <f>IF(Table2[[#This Row],[Counter Number]]="","",Application!$D$16)</f>
        <v/>
      </c>
      <c r="C210" s="60" t="str">
        <f>IF(Table2[[#This Row],[Counter Number]]="","",Application!$D$14)</f>
        <v/>
      </c>
      <c r="D210" s="60" t="str">
        <f>IF(Table2[[#This Row],[Counter Number]]="","",Table1[[#This Row],[Old Bus Number]])</f>
        <v/>
      </c>
      <c r="E210" s="60" t="str">
        <f>IF(Table2[[#This Row],[Counter Number]]="","",Application!$D$15)</f>
        <v/>
      </c>
      <c r="F210" s="60" t="str">
        <f>IF(Table2[[#This Row],[Counter Number]]="","","On Highway")</f>
        <v/>
      </c>
      <c r="G210" s="60" t="str">
        <f>IF(Table2[[#This Row],[Counter Number]]="","",I210)</f>
        <v/>
      </c>
      <c r="H210" s="60" t="str">
        <f>IF(Table2[[#This Row],[Counter Number]]="","","Georgia")</f>
        <v/>
      </c>
      <c r="I210" s="60" t="str">
        <f>IF(Table2[[#This Row],[Counter Number]]="","",Application!$D$16)</f>
        <v/>
      </c>
      <c r="J210" s="60" t="str">
        <f>IF(Table2[[#This Row],[Counter Number]]="","",Application!$D$21)</f>
        <v/>
      </c>
      <c r="K210" s="60" t="str">
        <f>IF(Table2[[#This Row],[Counter Number]]="","",Application!$J$21)</f>
        <v/>
      </c>
      <c r="L210" s="60" t="str">
        <f>IF(Table2[[#This Row],[Counter Number]]="","","School Bus")</f>
        <v/>
      </c>
      <c r="M210" s="60" t="str">
        <f>IF(Table2[[#This Row],[Counter Number]]="","","School Bus")</f>
        <v/>
      </c>
      <c r="N210" s="60" t="str">
        <f>IF(Table2[[#This Row],[Counter Number]]="","",1)</f>
        <v/>
      </c>
      <c r="O210" s="60" t="str">
        <f>IF(Table2[[#This Row],[Counter Number]]="","",Table1[[#This Row],[Vehicle Identification Number(s):]])</f>
        <v/>
      </c>
      <c r="P210" s="60" t="str">
        <f>IF(Table2[[#This Row],[Counter Number]]="","",Table1[[#This Row],[Old Bus Manufacturer:]])</f>
        <v/>
      </c>
      <c r="Q210" s="60" t="str">
        <f>IF(Table2[[#This Row],[Counter Number]]="","",Table1[[#This Row],[Vehicle Model:]])</f>
        <v/>
      </c>
      <c r="R210" s="165" t="str">
        <f>IF(Table2[[#This Row],[Counter Number]]="","",Table1[[#This Row],[Vehicle Model Year:]])</f>
        <v/>
      </c>
      <c r="S210" s="60" t="str">
        <f>IF(Table2[[#This Row],[Counter Number]]="","",Table1[[#This Row],[Engine Serial Number(s):]])</f>
        <v/>
      </c>
      <c r="T210" s="60" t="str">
        <f>IF(Table2[[#This Row],[Counter Number]]="","",Table1[[#This Row],[Engine Make:]])</f>
        <v/>
      </c>
      <c r="U210" s="60" t="str">
        <f>IF(Table2[[#This Row],[Counter Number]]="","",Table1[[#This Row],[Engine Model:]])</f>
        <v/>
      </c>
      <c r="V210" s="165" t="str">
        <f>IF(Table2[[#This Row],[Counter Number]]="","",Table1[[#This Row],[Engine Model Year:]])</f>
        <v/>
      </c>
      <c r="W210" s="60" t="str">
        <f>IF(Table2[[#This Row],[Counter Number]]="","","NA")</f>
        <v/>
      </c>
      <c r="X210" s="165" t="str">
        <f>IF(Table2[[#This Row],[Counter Number]]="","",Table1[[#This Row],[Engine Horsepower (HP):]])</f>
        <v/>
      </c>
      <c r="Y210" s="165" t="str">
        <f>IF(Table2[[#This Row],[Counter Number]]="","",Table1[[#This Row],[Engine Cylinder Displacement (L):]]&amp;" L")</f>
        <v/>
      </c>
      <c r="Z210" s="165" t="str">
        <f>IF(Table2[[#This Row],[Counter Number]]="","",Table1[[#This Row],[Engine Number of Cylinders:]])</f>
        <v/>
      </c>
      <c r="AA210" s="166" t="str">
        <f>IF(Table2[[#This Row],[Counter Number]]="","",Table1[[#This Row],[Engine Family Name:]])</f>
        <v/>
      </c>
      <c r="AB210" s="60" t="str">
        <f>IF(Table2[[#This Row],[Counter Number]]="","","ULSD")</f>
        <v/>
      </c>
      <c r="AC210" s="167" t="str">
        <f>IF(Table2[[#This Row],[Counter Number]]="","",Table2[[#This Row],[Annual Miles Traveled:]]/Table1[[#This Row],[Old Fuel (mpg)]])</f>
        <v/>
      </c>
      <c r="AD210" s="60" t="str">
        <f>IF(Table2[[#This Row],[Counter Number]]="","","NA")</f>
        <v/>
      </c>
      <c r="AE210" s="168" t="str">
        <f>IF(Table2[[#This Row],[Counter Number]]="","",Table1[[#This Row],[Annual Miles Traveled]])</f>
        <v/>
      </c>
      <c r="AF210" s="169" t="str">
        <f>IF(Table2[[#This Row],[Counter Number]]="","",Table1[[#This Row],[Annual Idling Hours:]])</f>
        <v/>
      </c>
      <c r="AG210" s="60" t="str">
        <f>IF(Table2[[#This Row],[Counter Number]]="","","NA")</f>
        <v/>
      </c>
      <c r="AH210" s="165" t="str">
        <f>IF(Table2[[#This Row],[Counter Number]]="","",IF(Application!$J$25="Set Policy",Table1[[#This Row],[Remaining Life (years)         Set Policy]],Table1[[#This Row],[Remaining Life (years)               Case-by-Case]]))</f>
        <v/>
      </c>
      <c r="AI210" s="165" t="str">
        <f>IF(Table2[[#This Row],[Counter Number]]="","",IF(Application!$J$25="Case-by-Case","NA",Table2[[#This Row],[Fiscal Year of EPA Funds Used:]]+Table2[[#This Row],[Remaining Life:]]))</f>
        <v/>
      </c>
      <c r="AJ210" s="165"/>
      <c r="AK210" s="170" t="str">
        <f>IF(Table2[[#This Row],[Counter Number]]="","",Application!$D$14+1)</f>
        <v/>
      </c>
      <c r="AL210" s="60" t="str">
        <f>IF(Table2[[#This Row],[Counter Number]]="","","Vehicle Replacement")</f>
        <v/>
      </c>
      <c r="AM21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0" s="171" t="str">
        <f>IF(Table2[[#This Row],[Counter Number]]="","",Table1[[#This Row],[Cost of New Bus:]])</f>
        <v/>
      </c>
      <c r="AO210" s="60" t="str">
        <f>IF(Table2[[#This Row],[Counter Number]]="","","NA")</f>
        <v/>
      </c>
      <c r="AP210" s="165" t="str">
        <f>IF(Table2[[#This Row],[Counter Number]]="","",Table1[[#This Row],[New Engine Model Year:]])</f>
        <v/>
      </c>
      <c r="AQ210" s="60" t="str">
        <f>IF(Table2[[#This Row],[Counter Number]]="","","NA")</f>
        <v/>
      </c>
      <c r="AR210" s="165" t="str">
        <f>IF(Table2[[#This Row],[Counter Number]]="","",Table1[[#This Row],[New Engine Horsepower (HP):]])</f>
        <v/>
      </c>
      <c r="AS210" s="60" t="str">
        <f>IF(Table2[[#This Row],[Counter Number]]="","","NA")</f>
        <v/>
      </c>
      <c r="AT210" s="165" t="str">
        <f>IF(Table2[[#This Row],[Counter Number]]="","",Table1[[#This Row],[New Engine Cylinder Displacement (L):]]&amp;" L")</f>
        <v/>
      </c>
      <c r="AU210" s="114" t="str">
        <f>IF(Table2[[#This Row],[Counter Number]]="","",Table1[[#This Row],[New Engine Number of Cylinders:]])</f>
        <v/>
      </c>
      <c r="AV210" s="60" t="str">
        <f>IF(Table2[[#This Row],[Counter Number]]="","",Table1[[#This Row],[New Engine Family Name:]])</f>
        <v/>
      </c>
      <c r="AW21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0" s="60" t="str">
        <f>IF(Table2[[#This Row],[Counter Number]]="","","NA")</f>
        <v/>
      </c>
      <c r="AY210" s="172" t="str">
        <f>IF(Table2[[#This Row],[Counter Number]]="","",IF(Table2[[#This Row],[New Engine Fuel Type:]]="ULSD",Table1[[#This Row],[Annual Miles Traveled]]/Table1[[#This Row],[New Fuel (mpg) if Diesel]],""))</f>
        <v/>
      </c>
      <c r="AZ210" s="60"/>
      <c r="BA210" s="173" t="str">
        <f>IF(Table2[[#This Row],[Counter Number]]="","",Table2[[#This Row],[Annual Miles Traveled:]]*VLOOKUP(Table2[[#This Row],[Engine Model Year:]],EFTable[],3,FALSE))</f>
        <v/>
      </c>
      <c r="BB210" s="173" t="str">
        <f>IF(Table2[[#This Row],[Counter Number]]="","",Table2[[#This Row],[Annual Miles Traveled:]]*IF(Table2[[#This Row],[New Engine Fuel Type:]]="ULSD",VLOOKUP(Table2[[#This Row],[New Engine Model Year:]],EFTable[],3,FALSE),VLOOKUP(Table2[[#This Row],[New Engine Fuel Type:]],EFTable[],3,FALSE)))</f>
        <v/>
      </c>
      <c r="BC210" s="187" t="str">
        <f>IF(Table2[[#This Row],[Counter Number]]="","",Table2[[#This Row],[Old Bus NOx Emissions (tons/yr)]]-Table2[[#This Row],[New Bus NOx Emissions (tons/yr)]])</f>
        <v/>
      </c>
      <c r="BD210" s="188" t="str">
        <f>IF(Table2[[#This Row],[Counter Number]]="","",Table2[[#This Row],[Reduction Bus NOx Emissions (tons/yr)]]/Table2[[#This Row],[Old Bus NOx Emissions (tons/yr)]])</f>
        <v/>
      </c>
      <c r="BE210" s="175" t="str">
        <f>IF(Table2[[#This Row],[Counter Number]]="","",Table2[[#This Row],[Reduction Bus NOx Emissions (tons/yr)]]*Table2[[#This Row],[Remaining Life:]])</f>
        <v/>
      </c>
      <c r="BF210" s="189" t="str">
        <f>IF(Table2[[#This Row],[Counter Number]]="","",IF(Table2[[#This Row],[Lifetime NOx Reduction (tons)]]=0,"NA",Table2[[#This Row],[Upgrade Cost Per Unit]]/Table2[[#This Row],[Lifetime NOx Reduction (tons)]]))</f>
        <v/>
      </c>
      <c r="BG210" s="190" t="str">
        <f>IF(Table2[[#This Row],[Counter Number]]="","",Table2[[#This Row],[Annual Miles Traveled:]]*VLOOKUP(Table2[[#This Row],[Engine Model Year:]],EF!$A$2:$G$27,4,FALSE))</f>
        <v/>
      </c>
      <c r="BH210" s="173" t="str">
        <f>IF(Table2[[#This Row],[Counter Number]]="","",Table2[[#This Row],[Annual Miles Traveled:]]*IF(Table2[[#This Row],[New Engine Fuel Type:]]="ULSD",VLOOKUP(Table2[[#This Row],[New Engine Model Year:]],EFTable[],4,FALSE),VLOOKUP(Table2[[#This Row],[New Engine Fuel Type:]],EFTable[],4,FALSE)))</f>
        <v/>
      </c>
      <c r="BI210" s="191" t="str">
        <f>IF(Table2[[#This Row],[Counter Number]]="","",Table2[[#This Row],[Old Bus PM2.5 Emissions (tons/yr)]]-Table2[[#This Row],[New Bus PM2.5 Emissions (tons/yr)]])</f>
        <v/>
      </c>
      <c r="BJ210" s="192" t="str">
        <f>IF(Table2[[#This Row],[Counter Number]]="","",Table2[[#This Row],[Reduction Bus PM2.5 Emissions (tons/yr)]]/Table2[[#This Row],[Old Bus PM2.5 Emissions (tons/yr)]])</f>
        <v/>
      </c>
      <c r="BK210" s="193" t="str">
        <f>IF(Table2[[#This Row],[Counter Number]]="","",Table2[[#This Row],[Reduction Bus PM2.5 Emissions (tons/yr)]]*Table2[[#This Row],[Remaining Life:]])</f>
        <v/>
      </c>
      <c r="BL210" s="194" t="str">
        <f>IF(Table2[[#This Row],[Counter Number]]="","",IF(Table2[[#This Row],[Lifetime PM2.5 Reduction (tons)]]=0,"NA",Table2[[#This Row],[Upgrade Cost Per Unit]]/Table2[[#This Row],[Lifetime PM2.5 Reduction (tons)]]))</f>
        <v/>
      </c>
      <c r="BM210" s="179" t="str">
        <f>IF(Table2[[#This Row],[Counter Number]]="","",Table2[[#This Row],[Annual Miles Traveled:]]*VLOOKUP(Table2[[#This Row],[Engine Model Year:]],EF!$A$2:$G$40,5,FALSE))</f>
        <v/>
      </c>
      <c r="BN210" s="173" t="str">
        <f>IF(Table2[[#This Row],[Counter Number]]="","",Table2[[#This Row],[Annual Miles Traveled:]]*IF(Table2[[#This Row],[New Engine Fuel Type:]]="ULSD",VLOOKUP(Table2[[#This Row],[New Engine Model Year:]],EFTable[],5,FALSE),VLOOKUP(Table2[[#This Row],[New Engine Fuel Type:]],EFTable[],5,FALSE)))</f>
        <v/>
      </c>
      <c r="BO210" s="190" t="str">
        <f>IF(Table2[[#This Row],[Counter Number]]="","",Table2[[#This Row],[Old Bus HC Emissions (tons/yr)]]-Table2[[#This Row],[New Bus HC Emissions (tons/yr)]])</f>
        <v/>
      </c>
      <c r="BP210" s="188" t="str">
        <f>IF(Table2[[#This Row],[Counter Number]]="","",Table2[[#This Row],[Reduction Bus HC Emissions (tons/yr)]]/Table2[[#This Row],[Old Bus HC Emissions (tons/yr)]])</f>
        <v/>
      </c>
      <c r="BQ210" s="193" t="str">
        <f>IF(Table2[[#This Row],[Counter Number]]="","",Table2[[#This Row],[Reduction Bus HC Emissions (tons/yr)]]*Table2[[#This Row],[Remaining Life:]])</f>
        <v/>
      </c>
      <c r="BR210" s="194" t="str">
        <f>IF(Table2[[#This Row],[Counter Number]]="","",IF(Table2[[#This Row],[Lifetime HC Reduction (tons)]]=0,"NA",Table2[[#This Row],[Upgrade Cost Per Unit]]/Table2[[#This Row],[Lifetime HC Reduction (tons)]]))</f>
        <v/>
      </c>
      <c r="BS210" s="191" t="str">
        <f>IF(Table2[[#This Row],[Counter Number]]="","",Table2[[#This Row],[Annual Miles Traveled:]]*VLOOKUP(Table2[[#This Row],[Engine Model Year:]],EF!$A$2:$G$27,6,FALSE))</f>
        <v/>
      </c>
      <c r="BT210" s="173" t="str">
        <f>IF(Table2[[#This Row],[Counter Number]]="","",Table2[[#This Row],[Annual Miles Traveled:]]*IF(Table2[[#This Row],[New Engine Fuel Type:]]="ULSD",VLOOKUP(Table2[[#This Row],[New Engine Model Year:]],EFTable[],6,FALSE),VLOOKUP(Table2[[#This Row],[New Engine Fuel Type:]],EFTable[],6,FALSE)))</f>
        <v/>
      </c>
      <c r="BU210" s="190" t="str">
        <f>IF(Table2[[#This Row],[Counter Number]]="","",Table2[[#This Row],[Old Bus CO Emissions (tons/yr)]]-Table2[[#This Row],[New Bus CO Emissions (tons/yr)]])</f>
        <v/>
      </c>
      <c r="BV210" s="188" t="str">
        <f>IF(Table2[[#This Row],[Counter Number]]="","",Table2[[#This Row],[Reduction Bus CO Emissions (tons/yr)]]/Table2[[#This Row],[Old Bus CO Emissions (tons/yr)]])</f>
        <v/>
      </c>
      <c r="BW210" s="193" t="str">
        <f>IF(Table2[[#This Row],[Counter Number]]="","",Table2[[#This Row],[Reduction Bus CO Emissions (tons/yr)]]*Table2[[#This Row],[Remaining Life:]])</f>
        <v/>
      </c>
      <c r="BX210" s="194" t="str">
        <f>IF(Table2[[#This Row],[Counter Number]]="","",IF(Table2[[#This Row],[Lifetime CO Reduction (tons)]]=0,"NA",Table2[[#This Row],[Upgrade Cost Per Unit]]/Table2[[#This Row],[Lifetime CO Reduction (tons)]]))</f>
        <v/>
      </c>
      <c r="BY210" s="180" t="str">
        <f>IF(Table2[[#This Row],[Counter Number]]="","",Table2[[#This Row],[Old ULSD Used (gal):]]*VLOOKUP(Table2[[#This Row],[Engine Model Year:]],EF!$A$2:$G$27,7,FALSE))</f>
        <v/>
      </c>
      <c r="BZ21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0" s="195" t="str">
        <f>IF(Table2[[#This Row],[Counter Number]]="","",Table2[[#This Row],[Old Bus CO2 Emissions (tons/yr)]]-Table2[[#This Row],[New Bus CO2 Emissions (tons/yr)]])</f>
        <v/>
      </c>
      <c r="CB210" s="188" t="str">
        <f>IF(Table2[[#This Row],[Counter Number]]="","",Table2[[#This Row],[Reduction Bus CO2 Emissions (tons/yr)]]/Table2[[#This Row],[Old Bus CO2 Emissions (tons/yr)]])</f>
        <v/>
      </c>
      <c r="CC210" s="195" t="str">
        <f>IF(Table2[[#This Row],[Counter Number]]="","",Table2[[#This Row],[Reduction Bus CO2 Emissions (tons/yr)]]*Table2[[#This Row],[Remaining Life:]])</f>
        <v/>
      </c>
      <c r="CD210" s="194" t="str">
        <f>IF(Table2[[#This Row],[Counter Number]]="","",IF(Table2[[#This Row],[Lifetime CO2 Reduction (tons)]]=0,"NA",Table2[[#This Row],[Upgrade Cost Per Unit]]/Table2[[#This Row],[Lifetime CO2 Reduction (tons)]]))</f>
        <v/>
      </c>
      <c r="CE210" s="182" t="str">
        <f>IF(Table2[[#This Row],[Counter Number]]="","",IF(Table2[[#This Row],[New ULSD Used (gal):]]="",Table2[[#This Row],[Old ULSD Used (gal):]],Table2[[#This Row],[Old ULSD Used (gal):]]-Table2[[#This Row],[New ULSD Used (gal):]]))</f>
        <v/>
      </c>
      <c r="CF210" s="196" t="str">
        <f>IF(Table2[[#This Row],[Counter Number]]="","",Table2[[#This Row],[Diesel Fuel Reduction (gal/yr)]]/Table2[[#This Row],[Old ULSD Used (gal):]])</f>
        <v/>
      </c>
      <c r="CG210" s="197" t="str">
        <f>IF(Table2[[#This Row],[Counter Number]]="","",Table2[[#This Row],[Diesel Fuel Reduction (gal/yr)]]*Table2[[#This Row],[Remaining Life:]])</f>
        <v/>
      </c>
    </row>
    <row r="211" spans="1:85">
      <c r="A211" s="184" t="str">
        <f>IF(A186&lt;Application!$D$24,A186+1,"")</f>
        <v/>
      </c>
      <c r="B211" s="60" t="str">
        <f>IF(Table2[[#This Row],[Counter Number]]="","",Application!$D$16)</f>
        <v/>
      </c>
      <c r="C211" s="60" t="str">
        <f>IF(Table2[[#This Row],[Counter Number]]="","",Application!$D$14)</f>
        <v/>
      </c>
      <c r="D211" s="60" t="str">
        <f>IF(Table2[[#This Row],[Counter Number]]="","",Table1[[#This Row],[Old Bus Number]])</f>
        <v/>
      </c>
      <c r="E211" s="60" t="str">
        <f>IF(Table2[[#This Row],[Counter Number]]="","",Application!$D$15)</f>
        <v/>
      </c>
      <c r="F211" s="60" t="str">
        <f>IF(Table2[[#This Row],[Counter Number]]="","","On Highway")</f>
        <v/>
      </c>
      <c r="G211" s="60" t="str">
        <f>IF(Table2[[#This Row],[Counter Number]]="","",I211)</f>
        <v/>
      </c>
      <c r="H211" s="60" t="str">
        <f>IF(Table2[[#This Row],[Counter Number]]="","","Georgia")</f>
        <v/>
      </c>
      <c r="I211" s="60" t="str">
        <f>IF(Table2[[#This Row],[Counter Number]]="","",Application!$D$16)</f>
        <v/>
      </c>
      <c r="J211" s="60" t="str">
        <f>IF(Table2[[#This Row],[Counter Number]]="","",Application!$D$21)</f>
        <v/>
      </c>
      <c r="K211" s="60" t="str">
        <f>IF(Table2[[#This Row],[Counter Number]]="","",Application!$J$21)</f>
        <v/>
      </c>
      <c r="L211" s="60" t="str">
        <f>IF(Table2[[#This Row],[Counter Number]]="","","School Bus")</f>
        <v/>
      </c>
      <c r="M211" s="60" t="str">
        <f>IF(Table2[[#This Row],[Counter Number]]="","","School Bus")</f>
        <v/>
      </c>
      <c r="N211" s="60" t="str">
        <f>IF(Table2[[#This Row],[Counter Number]]="","",1)</f>
        <v/>
      </c>
      <c r="O211" s="60" t="str">
        <f>IF(Table2[[#This Row],[Counter Number]]="","",Table1[[#This Row],[Vehicle Identification Number(s):]])</f>
        <v/>
      </c>
      <c r="P211" s="60" t="str">
        <f>IF(Table2[[#This Row],[Counter Number]]="","",Table1[[#This Row],[Old Bus Manufacturer:]])</f>
        <v/>
      </c>
      <c r="Q211" s="60" t="str">
        <f>IF(Table2[[#This Row],[Counter Number]]="","",Table1[[#This Row],[Vehicle Model:]])</f>
        <v/>
      </c>
      <c r="R211" s="165" t="str">
        <f>IF(Table2[[#This Row],[Counter Number]]="","",Table1[[#This Row],[Vehicle Model Year:]])</f>
        <v/>
      </c>
      <c r="S211" s="60" t="str">
        <f>IF(Table2[[#This Row],[Counter Number]]="","",Table1[[#This Row],[Engine Serial Number(s):]])</f>
        <v/>
      </c>
      <c r="T211" s="60" t="str">
        <f>IF(Table2[[#This Row],[Counter Number]]="","",Table1[[#This Row],[Engine Make:]])</f>
        <v/>
      </c>
      <c r="U211" s="60" t="str">
        <f>IF(Table2[[#This Row],[Counter Number]]="","",Table1[[#This Row],[Engine Model:]])</f>
        <v/>
      </c>
      <c r="V211" s="165" t="str">
        <f>IF(Table2[[#This Row],[Counter Number]]="","",Table1[[#This Row],[Engine Model Year:]])</f>
        <v/>
      </c>
      <c r="W211" s="60" t="str">
        <f>IF(Table2[[#This Row],[Counter Number]]="","","NA")</f>
        <v/>
      </c>
      <c r="X211" s="165" t="str">
        <f>IF(Table2[[#This Row],[Counter Number]]="","",Table1[[#This Row],[Engine Horsepower (HP):]])</f>
        <v/>
      </c>
      <c r="Y211" s="165" t="str">
        <f>IF(Table2[[#This Row],[Counter Number]]="","",Table1[[#This Row],[Engine Cylinder Displacement (L):]]&amp;" L")</f>
        <v/>
      </c>
      <c r="Z211" s="165" t="str">
        <f>IF(Table2[[#This Row],[Counter Number]]="","",Table1[[#This Row],[Engine Number of Cylinders:]])</f>
        <v/>
      </c>
      <c r="AA211" s="166" t="str">
        <f>IF(Table2[[#This Row],[Counter Number]]="","",Table1[[#This Row],[Engine Family Name:]])</f>
        <v/>
      </c>
      <c r="AB211" s="60" t="str">
        <f>IF(Table2[[#This Row],[Counter Number]]="","","ULSD")</f>
        <v/>
      </c>
      <c r="AC211" s="167" t="str">
        <f>IF(Table2[[#This Row],[Counter Number]]="","",Table2[[#This Row],[Annual Miles Traveled:]]/Table1[[#This Row],[Old Fuel (mpg)]])</f>
        <v/>
      </c>
      <c r="AD211" s="60" t="str">
        <f>IF(Table2[[#This Row],[Counter Number]]="","","NA")</f>
        <v/>
      </c>
      <c r="AE211" s="168" t="str">
        <f>IF(Table2[[#This Row],[Counter Number]]="","",Table1[[#This Row],[Annual Miles Traveled]])</f>
        <v/>
      </c>
      <c r="AF211" s="169" t="str">
        <f>IF(Table2[[#This Row],[Counter Number]]="","",Table1[[#This Row],[Annual Idling Hours:]])</f>
        <v/>
      </c>
      <c r="AG211" s="60" t="str">
        <f>IF(Table2[[#This Row],[Counter Number]]="","","NA")</f>
        <v/>
      </c>
      <c r="AH211" s="165" t="str">
        <f>IF(Table2[[#This Row],[Counter Number]]="","",IF(Application!$J$25="Set Policy",Table1[[#This Row],[Remaining Life (years)         Set Policy]],Table1[[#This Row],[Remaining Life (years)               Case-by-Case]]))</f>
        <v/>
      </c>
      <c r="AI211" s="165" t="str">
        <f>IF(Table2[[#This Row],[Counter Number]]="","",IF(Application!$J$25="Case-by-Case","NA",Table2[[#This Row],[Fiscal Year of EPA Funds Used:]]+Table2[[#This Row],[Remaining Life:]]))</f>
        <v/>
      </c>
      <c r="AJ211" s="165"/>
      <c r="AK211" s="170" t="str">
        <f>IF(Table2[[#This Row],[Counter Number]]="","",Application!$D$14+1)</f>
        <v/>
      </c>
      <c r="AL211" s="60" t="str">
        <f>IF(Table2[[#This Row],[Counter Number]]="","","Vehicle Replacement")</f>
        <v/>
      </c>
      <c r="AM21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1" s="171" t="str">
        <f>IF(Table2[[#This Row],[Counter Number]]="","",Table1[[#This Row],[Cost of New Bus:]])</f>
        <v/>
      </c>
      <c r="AO211" s="60" t="str">
        <f>IF(Table2[[#This Row],[Counter Number]]="","","NA")</f>
        <v/>
      </c>
      <c r="AP211" s="165" t="str">
        <f>IF(Table2[[#This Row],[Counter Number]]="","",Table1[[#This Row],[New Engine Model Year:]])</f>
        <v/>
      </c>
      <c r="AQ211" s="60" t="str">
        <f>IF(Table2[[#This Row],[Counter Number]]="","","NA")</f>
        <v/>
      </c>
      <c r="AR211" s="165" t="str">
        <f>IF(Table2[[#This Row],[Counter Number]]="","",Table1[[#This Row],[New Engine Horsepower (HP):]])</f>
        <v/>
      </c>
      <c r="AS211" s="60" t="str">
        <f>IF(Table2[[#This Row],[Counter Number]]="","","NA")</f>
        <v/>
      </c>
      <c r="AT211" s="165" t="str">
        <f>IF(Table2[[#This Row],[Counter Number]]="","",Table1[[#This Row],[New Engine Cylinder Displacement (L):]]&amp;" L")</f>
        <v/>
      </c>
      <c r="AU211" s="114" t="str">
        <f>IF(Table2[[#This Row],[Counter Number]]="","",Table1[[#This Row],[New Engine Number of Cylinders:]])</f>
        <v/>
      </c>
      <c r="AV211" s="60" t="str">
        <f>IF(Table2[[#This Row],[Counter Number]]="","",Table1[[#This Row],[New Engine Family Name:]])</f>
        <v/>
      </c>
      <c r="AW21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1" s="60" t="str">
        <f>IF(Table2[[#This Row],[Counter Number]]="","","NA")</f>
        <v/>
      </c>
      <c r="AY211" s="172" t="str">
        <f>IF(Table2[[#This Row],[Counter Number]]="","",IF(Table2[[#This Row],[New Engine Fuel Type:]]="ULSD",Table1[[#This Row],[Annual Miles Traveled]]/Table1[[#This Row],[New Fuel (mpg) if Diesel]],""))</f>
        <v/>
      </c>
      <c r="AZ211" s="60"/>
      <c r="BA211" s="173" t="str">
        <f>IF(Table2[[#This Row],[Counter Number]]="","",Table2[[#This Row],[Annual Miles Traveled:]]*VLOOKUP(Table2[[#This Row],[Engine Model Year:]],EFTable[],3,FALSE))</f>
        <v/>
      </c>
      <c r="BB211" s="173" t="str">
        <f>IF(Table2[[#This Row],[Counter Number]]="","",Table2[[#This Row],[Annual Miles Traveled:]]*IF(Table2[[#This Row],[New Engine Fuel Type:]]="ULSD",VLOOKUP(Table2[[#This Row],[New Engine Model Year:]],EFTable[],3,FALSE),VLOOKUP(Table2[[#This Row],[New Engine Fuel Type:]],EFTable[],3,FALSE)))</f>
        <v/>
      </c>
      <c r="BC211" s="187" t="str">
        <f>IF(Table2[[#This Row],[Counter Number]]="","",Table2[[#This Row],[Old Bus NOx Emissions (tons/yr)]]-Table2[[#This Row],[New Bus NOx Emissions (tons/yr)]])</f>
        <v/>
      </c>
      <c r="BD211" s="188" t="str">
        <f>IF(Table2[[#This Row],[Counter Number]]="","",Table2[[#This Row],[Reduction Bus NOx Emissions (tons/yr)]]/Table2[[#This Row],[Old Bus NOx Emissions (tons/yr)]])</f>
        <v/>
      </c>
      <c r="BE211" s="175" t="str">
        <f>IF(Table2[[#This Row],[Counter Number]]="","",Table2[[#This Row],[Reduction Bus NOx Emissions (tons/yr)]]*Table2[[#This Row],[Remaining Life:]])</f>
        <v/>
      </c>
      <c r="BF211" s="189" t="str">
        <f>IF(Table2[[#This Row],[Counter Number]]="","",IF(Table2[[#This Row],[Lifetime NOx Reduction (tons)]]=0,"NA",Table2[[#This Row],[Upgrade Cost Per Unit]]/Table2[[#This Row],[Lifetime NOx Reduction (tons)]]))</f>
        <v/>
      </c>
      <c r="BG211" s="190" t="str">
        <f>IF(Table2[[#This Row],[Counter Number]]="","",Table2[[#This Row],[Annual Miles Traveled:]]*VLOOKUP(Table2[[#This Row],[Engine Model Year:]],EF!$A$2:$G$27,4,FALSE))</f>
        <v/>
      </c>
      <c r="BH211" s="173" t="str">
        <f>IF(Table2[[#This Row],[Counter Number]]="","",Table2[[#This Row],[Annual Miles Traveled:]]*IF(Table2[[#This Row],[New Engine Fuel Type:]]="ULSD",VLOOKUP(Table2[[#This Row],[New Engine Model Year:]],EFTable[],4,FALSE),VLOOKUP(Table2[[#This Row],[New Engine Fuel Type:]],EFTable[],4,FALSE)))</f>
        <v/>
      </c>
      <c r="BI211" s="191" t="str">
        <f>IF(Table2[[#This Row],[Counter Number]]="","",Table2[[#This Row],[Old Bus PM2.5 Emissions (tons/yr)]]-Table2[[#This Row],[New Bus PM2.5 Emissions (tons/yr)]])</f>
        <v/>
      </c>
      <c r="BJ211" s="192" t="str">
        <f>IF(Table2[[#This Row],[Counter Number]]="","",Table2[[#This Row],[Reduction Bus PM2.5 Emissions (tons/yr)]]/Table2[[#This Row],[Old Bus PM2.5 Emissions (tons/yr)]])</f>
        <v/>
      </c>
      <c r="BK211" s="193" t="str">
        <f>IF(Table2[[#This Row],[Counter Number]]="","",Table2[[#This Row],[Reduction Bus PM2.5 Emissions (tons/yr)]]*Table2[[#This Row],[Remaining Life:]])</f>
        <v/>
      </c>
      <c r="BL211" s="194" t="str">
        <f>IF(Table2[[#This Row],[Counter Number]]="","",IF(Table2[[#This Row],[Lifetime PM2.5 Reduction (tons)]]=0,"NA",Table2[[#This Row],[Upgrade Cost Per Unit]]/Table2[[#This Row],[Lifetime PM2.5 Reduction (tons)]]))</f>
        <v/>
      </c>
      <c r="BM211" s="179" t="str">
        <f>IF(Table2[[#This Row],[Counter Number]]="","",Table2[[#This Row],[Annual Miles Traveled:]]*VLOOKUP(Table2[[#This Row],[Engine Model Year:]],EF!$A$2:$G$40,5,FALSE))</f>
        <v/>
      </c>
      <c r="BN211" s="173" t="str">
        <f>IF(Table2[[#This Row],[Counter Number]]="","",Table2[[#This Row],[Annual Miles Traveled:]]*IF(Table2[[#This Row],[New Engine Fuel Type:]]="ULSD",VLOOKUP(Table2[[#This Row],[New Engine Model Year:]],EFTable[],5,FALSE),VLOOKUP(Table2[[#This Row],[New Engine Fuel Type:]],EFTable[],5,FALSE)))</f>
        <v/>
      </c>
      <c r="BO211" s="190" t="str">
        <f>IF(Table2[[#This Row],[Counter Number]]="","",Table2[[#This Row],[Old Bus HC Emissions (tons/yr)]]-Table2[[#This Row],[New Bus HC Emissions (tons/yr)]])</f>
        <v/>
      </c>
      <c r="BP211" s="188" t="str">
        <f>IF(Table2[[#This Row],[Counter Number]]="","",Table2[[#This Row],[Reduction Bus HC Emissions (tons/yr)]]/Table2[[#This Row],[Old Bus HC Emissions (tons/yr)]])</f>
        <v/>
      </c>
      <c r="BQ211" s="193" t="str">
        <f>IF(Table2[[#This Row],[Counter Number]]="","",Table2[[#This Row],[Reduction Bus HC Emissions (tons/yr)]]*Table2[[#This Row],[Remaining Life:]])</f>
        <v/>
      </c>
      <c r="BR211" s="194" t="str">
        <f>IF(Table2[[#This Row],[Counter Number]]="","",IF(Table2[[#This Row],[Lifetime HC Reduction (tons)]]=0,"NA",Table2[[#This Row],[Upgrade Cost Per Unit]]/Table2[[#This Row],[Lifetime HC Reduction (tons)]]))</f>
        <v/>
      </c>
      <c r="BS211" s="191" t="str">
        <f>IF(Table2[[#This Row],[Counter Number]]="","",Table2[[#This Row],[Annual Miles Traveled:]]*VLOOKUP(Table2[[#This Row],[Engine Model Year:]],EF!$A$2:$G$27,6,FALSE))</f>
        <v/>
      </c>
      <c r="BT211" s="173" t="str">
        <f>IF(Table2[[#This Row],[Counter Number]]="","",Table2[[#This Row],[Annual Miles Traveled:]]*IF(Table2[[#This Row],[New Engine Fuel Type:]]="ULSD",VLOOKUP(Table2[[#This Row],[New Engine Model Year:]],EFTable[],6,FALSE),VLOOKUP(Table2[[#This Row],[New Engine Fuel Type:]],EFTable[],6,FALSE)))</f>
        <v/>
      </c>
      <c r="BU211" s="190" t="str">
        <f>IF(Table2[[#This Row],[Counter Number]]="","",Table2[[#This Row],[Old Bus CO Emissions (tons/yr)]]-Table2[[#This Row],[New Bus CO Emissions (tons/yr)]])</f>
        <v/>
      </c>
      <c r="BV211" s="188" t="str">
        <f>IF(Table2[[#This Row],[Counter Number]]="","",Table2[[#This Row],[Reduction Bus CO Emissions (tons/yr)]]/Table2[[#This Row],[Old Bus CO Emissions (tons/yr)]])</f>
        <v/>
      </c>
      <c r="BW211" s="193" t="str">
        <f>IF(Table2[[#This Row],[Counter Number]]="","",Table2[[#This Row],[Reduction Bus CO Emissions (tons/yr)]]*Table2[[#This Row],[Remaining Life:]])</f>
        <v/>
      </c>
      <c r="BX211" s="194" t="str">
        <f>IF(Table2[[#This Row],[Counter Number]]="","",IF(Table2[[#This Row],[Lifetime CO Reduction (tons)]]=0,"NA",Table2[[#This Row],[Upgrade Cost Per Unit]]/Table2[[#This Row],[Lifetime CO Reduction (tons)]]))</f>
        <v/>
      </c>
      <c r="BY211" s="180" t="str">
        <f>IF(Table2[[#This Row],[Counter Number]]="","",Table2[[#This Row],[Old ULSD Used (gal):]]*VLOOKUP(Table2[[#This Row],[Engine Model Year:]],EF!$A$2:$G$27,7,FALSE))</f>
        <v/>
      </c>
      <c r="BZ21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1" s="195" t="str">
        <f>IF(Table2[[#This Row],[Counter Number]]="","",Table2[[#This Row],[Old Bus CO2 Emissions (tons/yr)]]-Table2[[#This Row],[New Bus CO2 Emissions (tons/yr)]])</f>
        <v/>
      </c>
      <c r="CB211" s="188" t="str">
        <f>IF(Table2[[#This Row],[Counter Number]]="","",Table2[[#This Row],[Reduction Bus CO2 Emissions (tons/yr)]]/Table2[[#This Row],[Old Bus CO2 Emissions (tons/yr)]])</f>
        <v/>
      </c>
      <c r="CC211" s="195" t="str">
        <f>IF(Table2[[#This Row],[Counter Number]]="","",Table2[[#This Row],[Reduction Bus CO2 Emissions (tons/yr)]]*Table2[[#This Row],[Remaining Life:]])</f>
        <v/>
      </c>
      <c r="CD211" s="194" t="str">
        <f>IF(Table2[[#This Row],[Counter Number]]="","",IF(Table2[[#This Row],[Lifetime CO2 Reduction (tons)]]=0,"NA",Table2[[#This Row],[Upgrade Cost Per Unit]]/Table2[[#This Row],[Lifetime CO2 Reduction (tons)]]))</f>
        <v/>
      </c>
      <c r="CE211" s="182" t="str">
        <f>IF(Table2[[#This Row],[Counter Number]]="","",IF(Table2[[#This Row],[New ULSD Used (gal):]]="",Table2[[#This Row],[Old ULSD Used (gal):]],Table2[[#This Row],[Old ULSD Used (gal):]]-Table2[[#This Row],[New ULSD Used (gal):]]))</f>
        <v/>
      </c>
      <c r="CF211" s="196" t="str">
        <f>IF(Table2[[#This Row],[Counter Number]]="","",Table2[[#This Row],[Diesel Fuel Reduction (gal/yr)]]/Table2[[#This Row],[Old ULSD Used (gal):]])</f>
        <v/>
      </c>
      <c r="CG211" s="197" t="str">
        <f>IF(Table2[[#This Row],[Counter Number]]="","",Table2[[#This Row],[Diesel Fuel Reduction (gal/yr)]]*Table2[[#This Row],[Remaining Life:]])</f>
        <v/>
      </c>
    </row>
    <row r="212" spans="1:85">
      <c r="A212" s="184" t="str">
        <f>IF(A187&lt;Application!$D$24,A187+1,"")</f>
        <v/>
      </c>
      <c r="B212" s="60" t="str">
        <f>IF(Table2[[#This Row],[Counter Number]]="","",Application!$D$16)</f>
        <v/>
      </c>
      <c r="C212" s="60" t="str">
        <f>IF(Table2[[#This Row],[Counter Number]]="","",Application!$D$14)</f>
        <v/>
      </c>
      <c r="D212" s="60" t="str">
        <f>IF(Table2[[#This Row],[Counter Number]]="","",Table1[[#This Row],[Old Bus Number]])</f>
        <v/>
      </c>
      <c r="E212" s="60" t="str">
        <f>IF(Table2[[#This Row],[Counter Number]]="","",Application!$D$15)</f>
        <v/>
      </c>
      <c r="F212" s="60" t="str">
        <f>IF(Table2[[#This Row],[Counter Number]]="","","On Highway")</f>
        <v/>
      </c>
      <c r="G212" s="60" t="str">
        <f>IF(Table2[[#This Row],[Counter Number]]="","",I212)</f>
        <v/>
      </c>
      <c r="H212" s="60" t="str">
        <f>IF(Table2[[#This Row],[Counter Number]]="","","Georgia")</f>
        <v/>
      </c>
      <c r="I212" s="60" t="str">
        <f>IF(Table2[[#This Row],[Counter Number]]="","",Application!$D$16)</f>
        <v/>
      </c>
      <c r="J212" s="60" t="str">
        <f>IF(Table2[[#This Row],[Counter Number]]="","",Application!$D$21)</f>
        <v/>
      </c>
      <c r="K212" s="60" t="str">
        <f>IF(Table2[[#This Row],[Counter Number]]="","",Application!$J$21)</f>
        <v/>
      </c>
      <c r="L212" s="60" t="str">
        <f>IF(Table2[[#This Row],[Counter Number]]="","","School Bus")</f>
        <v/>
      </c>
      <c r="M212" s="60" t="str">
        <f>IF(Table2[[#This Row],[Counter Number]]="","","School Bus")</f>
        <v/>
      </c>
      <c r="N212" s="60" t="str">
        <f>IF(Table2[[#This Row],[Counter Number]]="","",1)</f>
        <v/>
      </c>
      <c r="O212" s="60" t="str">
        <f>IF(Table2[[#This Row],[Counter Number]]="","",Table1[[#This Row],[Vehicle Identification Number(s):]])</f>
        <v/>
      </c>
      <c r="P212" s="60" t="str">
        <f>IF(Table2[[#This Row],[Counter Number]]="","",Table1[[#This Row],[Old Bus Manufacturer:]])</f>
        <v/>
      </c>
      <c r="Q212" s="60" t="str">
        <f>IF(Table2[[#This Row],[Counter Number]]="","",Table1[[#This Row],[Vehicle Model:]])</f>
        <v/>
      </c>
      <c r="R212" s="165" t="str">
        <f>IF(Table2[[#This Row],[Counter Number]]="","",Table1[[#This Row],[Vehicle Model Year:]])</f>
        <v/>
      </c>
      <c r="S212" s="60" t="str">
        <f>IF(Table2[[#This Row],[Counter Number]]="","",Table1[[#This Row],[Engine Serial Number(s):]])</f>
        <v/>
      </c>
      <c r="T212" s="60" t="str">
        <f>IF(Table2[[#This Row],[Counter Number]]="","",Table1[[#This Row],[Engine Make:]])</f>
        <v/>
      </c>
      <c r="U212" s="60" t="str">
        <f>IF(Table2[[#This Row],[Counter Number]]="","",Table1[[#This Row],[Engine Model:]])</f>
        <v/>
      </c>
      <c r="V212" s="165" t="str">
        <f>IF(Table2[[#This Row],[Counter Number]]="","",Table1[[#This Row],[Engine Model Year:]])</f>
        <v/>
      </c>
      <c r="W212" s="60" t="str">
        <f>IF(Table2[[#This Row],[Counter Number]]="","","NA")</f>
        <v/>
      </c>
      <c r="X212" s="165" t="str">
        <f>IF(Table2[[#This Row],[Counter Number]]="","",Table1[[#This Row],[Engine Horsepower (HP):]])</f>
        <v/>
      </c>
      <c r="Y212" s="165" t="str">
        <f>IF(Table2[[#This Row],[Counter Number]]="","",Table1[[#This Row],[Engine Cylinder Displacement (L):]]&amp;" L")</f>
        <v/>
      </c>
      <c r="Z212" s="165" t="str">
        <f>IF(Table2[[#This Row],[Counter Number]]="","",Table1[[#This Row],[Engine Number of Cylinders:]])</f>
        <v/>
      </c>
      <c r="AA212" s="166" t="str">
        <f>IF(Table2[[#This Row],[Counter Number]]="","",Table1[[#This Row],[Engine Family Name:]])</f>
        <v/>
      </c>
      <c r="AB212" s="60" t="str">
        <f>IF(Table2[[#This Row],[Counter Number]]="","","ULSD")</f>
        <v/>
      </c>
      <c r="AC212" s="167" t="str">
        <f>IF(Table2[[#This Row],[Counter Number]]="","",Table2[[#This Row],[Annual Miles Traveled:]]/Table1[[#This Row],[Old Fuel (mpg)]])</f>
        <v/>
      </c>
      <c r="AD212" s="60" t="str">
        <f>IF(Table2[[#This Row],[Counter Number]]="","","NA")</f>
        <v/>
      </c>
      <c r="AE212" s="168" t="str">
        <f>IF(Table2[[#This Row],[Counter Number]]="","",Table1[[#This Row],[Annual Miles Traveled]])</f>
        <v/>
      </c>
      <c r="AF212" s="169" t="str">
        <f>IF(Table2[[#This Row],[Counter Number]]="","",Table1[[#This Row],[Annual Idling Hours:]])</f>
        <v/>
      </c>
      <c r="AG212" s="60" t="str">
        <f>IF(Table2[[#This Row],[Counter Number]]="","","NA")</f>
        <v/>
      </c>
      <c r="AH212" s="165" t="str">
        <f>IF(Table2[[#This Row],[Counter Number]]="","",IF(Application!$J$25="Set Policy",Table1[[#This Row],[Remaining Life (years)         Set Policy]],Table1[[#This Row],[Remaining Life (years)               Case-by-Case]]))</f>
        <v/>
      </c>
      <c r="AI212" s="165" t="str">
        <f>IF(Table2[[#This Row],[Counter Number]]="","",IF(Application!$J$25="Case-by-Case","NA",Table2[[#This Row],[Fiscal Year of EPA Funds Used:]]+Table2[[#This Row],[Remaining Life:]]))</f>
        <v/>
      </c>
      <c r="AJ212" s="165"/>
      <c r="AK212" s="170" t="str">
        <f>IF(Table2[[#This Row],[Counter Number]]="","",Application!$D$14+1)</f>
        <v/>
      </c>
      <c r="AL212" s="60" t="str">
        <f>IF(Table2[[#This Row],[Counter Number]]="","","Vehicle Replacement")</f>
        <v/>
      </c>
      <c r="AM21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2" s="171" t="str">
        <f>IF(Table2[[#This Row],[Counter Number]]="","",Table1[[#This Row],[Cost of New Bus:]])</f>
        <v/>
      </c>
      <c r="AO212" s="60" t="str">
        <f>IF(Table2[[#This Row],[Counter Number]]="","","NA")</f>
        <v/>
      </c>
      <c r="AP212" s="165" t="str">
        <f>IF(Table2[[#This Row],[Counter Number]]="","",Table1[[#This Row],[New Engine Model Year:]])</f>
        <v/>
      </c>
      <c r="AQ212" s="60" t="str">
        <f>IF(Table2[[#This Row],[Counter Number]]="","","NA")</f>
        <v/>
      </c>
      <c r="AR212" s="165" t="str">
        <f>IF(Table2[[#This Row],[Counter Number]]="","",Table1[[#This Row],[New Engine Horsepower (HP):]])</f>
        <v/>
      </c>
      <c r="AS212" s="60" t="str">
        <f>IF(Table2[[#This Row],[Counter Number]]="","","NA")</f>
        <v/>
      </c>
      <c r="AT212" s="165" t="str">
        <f>IF(Table2[[#This Row],[Counter Number]]="","",Table1[[#This Row],[New Engine Cylinder Displacement (L):]]&amp;" L")</f>
        <v/>
      </c>
      <c r="AU212" s="114" t="str">
        <f>IF(Table2[[#This Row],[Counter Number]]="","",Table1[[#This Row],[New Engine Number of Cylinders:]])</f>
        <v/>
      </c>
      <c r="AV212" s="60" t="str">
        <f>IF(Table2[[#This Row],[Counter Number]]="","",Table1[[#This Row],[New Engine Family Name:]])</f>
        <v/>
      </c>
      <c r="AW21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2" s="60" t="str">
        <f>IF(Table2[[#This Row],[Counter Number]]="","","NA")</f>
        <v/>
      </c>
      <c r="AY212" s="172" t="str">
        <f>IF(Table2[[#This Row],[Counter Number]]="","",IF(Table2[[#This Row],[New Engine Fuel Type:]]="ULSD",Table1[[#This Row],[Annual Miles Traveled]]/Table1[[#This Row],[New Fuel (mpg) if Diesel]],""))</f>
        <v/>
      </c>
      <c r="AZ212" s="60"/>
      <c r="BA212" s="173" t="str">
        <f>IF(Table2[[#This Row],[Counter Number]]="","",Table2[[#This Row],[Annual Miles Traveled:]]*VLOOKUP(Table2[[#This Row],[Engine Model Year:]],EFTable[],3,FALSE))</f>
        <v/>
      </c>
      <c r="BB212" s="173" t="str">
        <f>IF(Table2[[#This Row],[Counter Number]]="","",Table2[[#This Row],[Annual Miles Traveled:]]*IF(Table2[[#This Row],[New Engine Fuel Type:]]="ULSD",VLOOKUP(Table2[[#This Row],[New Engine Model Year:]],EFTable[],3,FALSE),VLOOKUP(Table2[[#This Row],[New Engine Fuel Type:]],EFTable[],3,FALSE)))</f>
        <v/>
      </c>
      <c r="BC212" s="187" t="str">
        <f>IF(Table2[[#This Row],[Counter Number]]="","",Table2[[#This Row],[Old Bus NOx Emissions (tons/yr)]]-Table2[[#This Row],[New Bus NOx Emissions (tons/yr)]])</f>
        <v/>
      </c>
      <c r="BD212" s="188" t="str">
        <f>IF(Table2[[#This Row],[Counter Number]]="","",Table2[[#This Row],[Reduction Bus NOx Emissions (tons/yr)]]/Table2[[#This Row],[Old Bus NOx Emissions (tons/yr)]])</f>
        <v/>
      </c>
      <c r="BE212" s="175" t="str">
        <f>IF(Table2[[#This Row],[Counter Number]]="","",Table2[[#This Row],[Reduction Bus NOx Emissions (tons/yr)]]*Table2[[#This Row],[Remaining Life:]])</f>
        <v/>
      </c>
      <c r="BF212" s="189" t="str">
        <f>IF(Table2[[#This Row],[Counter Number]]="","",IF(Table2[[#This Row],[Lifetime NOx Reduction (tons)]]=0,"NA",Table2[[#This Row],[Upgrade Cost Per Unit]]/Table2[[#This Row],[Lifetime NOx Reduction (tons)]]))</f>
        <v/>
      </c>
      <c r="BG212" s="190" t="str">
        <f>IF(Table2[[#This Row],[Counter Number]]="","",Table2[[#This Row],[Annual Miles Traveled:]]*VLOOKUP(Table2[[#This Row],[Engine Model Year:]],EF!$A$2:$G$27,4,FALSE))</f>
        <v/>
      </c>
      <c r="BH212" s="173" t="str">
        <f>IF(Table2[[#This Row],[Counter Number]]="","",Table2[[#This Row],[Annual Miles Traveled:]]*IF(Table2[[#This Row],[New Engine Fuel Type:]]="ULSD",VLOOKUP(Table2[[#This Row],[New Engine Model Year:]],EFTable[],4,FALSE),VLOOKUP(Table2[[#This Row],[New Engine Fuel Type:]],EFTable[],4,FALSE)))</f>
        <v/>
      </c>
      <c r="BI212" s="191" t="str">
        <f>IF(Table2[[#This Row],[Counter Number]]="","",Table2[[#This Row],[Old Bus PM2.5 Emissions (tons/yr)]]-Table2[[#This Row],[New Bus PM2.5 Emissions (tons/yr)]])</f>
        <v/>
      </c>
      <c r="BJ212" s="192" t="str">
        <f>IF(Table2[[#This Row],[Counter Number]]="","",Table2[[#This Row],[Reduction Bus PM2.5 Emissions (tons/yr)]]/Table2[[#This Row],[Old Bus PM2.5 Emissions (tons/yr)]])</f>
        <v/>
      </c>
      <c r="BK212" s="193" t="str">
        <f>IF(Table2[[#This Row],[Counter Number]]="","",Table2[[#This Row],[Reduction Bus PM2.5 Emissions (tons/yr)]]*Table2[[#This Row],[Remaining Life:]])</f>
        <v/>
      </c>
      <c r="BL212" s="194" t="str">
        <f>IF(Table2[[#This Row],[Counter Number]]="","",IF(Table2[[#This Row],[Lifetime PM2.5 Reduction (tons)]]=0,"NA",Table2[[#This Row],[Upgrade Cost Per Unit]]/Table2[[#This Row],[Lifetime PM2.5 Reduction (tons)]]))</f>
        <v/>
      </c>
      <c r="BM212" s="179" t="str">
        <f>IF(Table2[[#This Row],[Counter Number]]="","",Table2[[#This Row],[Annual Miles Traveled:]]*VLOOKUP(Table2[[#This Row],[Engine Model Year:]],EF!$A$2:$G$40,5,FALSE))</f>
        <v/>
      </c>
      <c r="BN212" s="173" t="str">
        <f>IF(Table2[[#This Row],[Counter Number]]="","",Table2[[#This Row],[Annual Miles Traveled:]]*IF(Table2[[#This Row],[New Engine Fuel Type:]]="ULSD",VLOOKUP(Table2[[#This Row],[New Engine Model Year:]],EFTable[],5,FALSE),VLOOKUP(Table2[[#This Row],[New Engine Fuel Type:]],EFTable[],5,FALSE)))</f>
        <v/>
      </c>
      <c r="BO212" s="190" t="str">
        <f>IF(Table2[[#This Row],[Counter Number]]="","",Table2[[#This Row],[Old Bus HC Emissions (tons/yr)]]-Table2[[#This Row],[New Bus HC Emissions (tons/yr)]])</f>
        <v/>
      </c>
      <c r="BP212" s="188" t="str">
        <f>IF(Table2[[#This Row],[Counter Number]]="","",Table2[[#This Row],[Reduction Bus HC Emissions (tons/yr)]]/Table2[[#This Row],[Old Bus HC Emissions (tons/yr)]])</f>
        <v/>
      </c>
      <c r="BQ212" s="193" t="str">
        <f>IF(Table2[[#This Row],[Counter Number]]="","",Table2[[#This Row],[Reduction Bus HC Emissions (tons/yr)]]*Table2[[#This Row],[Remaining Life:]])</f>
        <v/>
      </c>
      <c r="BR212" s="194" t="str">
        <f>IF(Table2[[#This Row],[Counter Number]]="","",IF(Table2[[#This Row],[Lifetime HC Reduction (tons)]]=0,"NA",Table2[[#This Row],[Upgrade Cost Per Unit]]/Table2[[#This Row],[Lifetime HC Reduction (tons)]]))</f>
        <v/>
      </c>
      <c r="BS212" s="191" t="str">
        <f>IF(Table2[[#This Row],[Counter Number]]="","",Table2[[#This Row],[Annual Miles Traveled:]]*VLOOKUP(Table2[[#This Row],[Engine Model Year:]],EF!$A$2:$G$27,6,FALSE))</f>
        <v/>
      </c>
      <c r="BT212" s="173" t="str">
        <f>IF(Table2[[#This Row],[Counter Number]]="","",Table2[[#This Row],[Annual Miles Traveled:]]*IF(Table2[[#This Row],[New Engine Fuel Type:]]="ULSD",VLOOKUP(Table2[[#This Row],[New Engine Model Year:]],EFTable[],6,FALSE),VLOOKUP(Table2[[#This Row],[New Engine Fuel Type:]],EFTable[],6,FALSE)))</f>
        <v/>
      </c>
      <c r="BU212" s="190" t="str">
        <f>IF(Table2[[#This Row],[Counter Number]]="","",Table2[[#This Row],[Old Bus CO Emissions (tons/yr)]]-Table2[[#This Row],[New Bus CO Emissions (tons/yr)]])</f>
        <v/>
      </c>
      <c r="BV212" s="188" t="str">
        <f>IF(Table2[[#This Row],[Counter Number]]="","",Table2[[#This Row],[Reduction Bus CO Emissions (tons/yr)]]/Table2[[#This Row],[Old Bus CO Emissions (tons/yr)]])</f>
        <v/>
      </c>
      <c r="BW212" s="193" t="str">
        <f>IF(Table2[[#This Row],[Counter Number]]="","",Table2[[#This Row],[Reduction Bus CO Emissions (tons/yr)]]*Table2[[#This Row],[Remaining Life:]])</f>
        <v/>
      </c>
      <c r="BX212" s="194" t="str">
        <f>IF(Table2[[#This Row],[Counter Number]]="","",IF(Table2[[#This Row],[Lifetime CO Reduction (tons)]]=0,"NA",Table2[[#This Row],[Upgrade Cost Per Unit]]/Table2[[#This Row],[Lifetime CO Reduction (tons)]]))</f>
        <v/>
      </c>
      <c r="BY212" s="180" t="str">
        <f>IF(Table2[[#This Row],[Counter Number]]="","",Table2[[#This Row],[Old ULSD Used (gal):]]*VLOOKUP(Table2[[#This Row],[Engine Model Year:]],EF!$A$2:$G$27,7,FALSE))</f>
        <v/>
      </c>
      <c r="BZ21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2" s="195" t="str">
        <f>IF(Table2[[#This Row],[Counter Number]]="","",Table2[[#This Row],[Old Bus CO2 Emissions (tons/yr)]]-Table2[[#This Row],[New Bus CO2 Emissions (tons/yr)]])</f>
        <v/>
      </c>
      <c r="CB212" s="188" t="str">
        <f>IF(Table2[[#This Row],[Counter Number]]="","",Table2[[#This Row],[Reduction Bus CO2 Emissions (tons/yr)]]/Table2[[#This Row],[Old Bus CO2 Emissions (tons/yr)]])</f>
        <v/>
      </c>
      <c r="CC212" s="195" t="str">
        <f>IF(Table2[[#This Row],[Counter Number]]="","",Table2[[#This Row],[Reduction Bus CO2 Emissions (tons/yr)]]*Table2[[#This Row],[Remaining Life:]])</f>
        <v/>
      </c>
      <c r="CD212" s="194" t="str">
        <f>IF(Table2[[#This Row],[Counter Number]]="","",IF(Table2[[#This Row],[Lifetime CO2 Reduction (tons)]]=0,"NA",Table2[[#This Row],[Upgrade Cost Per Unit]]/Table2[[#This Row],[Lifetime CO2 Reduction (tons)]]))</f>
        <v/>
      </c>
      <c r="CE212" s="182" t="str">
        <f>IF(Table2[[#This Row],[Counter Number]]="","",IF(Table2[[#This Row],[New ULSD Used (gal):]]="",Table2[[#This Row],[Old ULSD Used (gal):]],Table2[[#This Row],[Old ULSD Used (gal):]]-Table2[[#This Row],[New ULSD Used (gal):]]))</f>
        <v/>
      </c>
      <c r="CF212" s="196" t="str">
        <f>IF(Table2[[#This Row],[Counter Number]]="","",Table2[[#This Row],[Diesel Fuel Reduction (gal/yr)]]/Table2[[#This Row],[Old ULSD Used (gal):]])</f>
        <v/>
      </c>
      <c r="CG212" s="197" t="str">
        <f>IF(Table2[[#This Row],[Counter Number]]="","",Table2[[#This Row],[Diesel Fuel Reduction (gal/yr)]]*Table2[[#This Row],[Remaining Life:]])</f>
        <v/>
      </c>
    </row>
    <row r="213" spans="1:85">
      <c r="A213" s="184" t="str">
        <f>IF(A188&lt;Application!$D$24,A188+1,"")</f>
        <v/>
      </c>
      <c r="B213" s="60" t="str">
        <f>IF(Table2[[#This Row],[Counter Number]]="","",Application!$D$16)</f>
        <v/>
      </c>
      <c r="C213" s="60" t="str">
        <f>IF(Table2[[#This Row],[Counter Number]]="","",Application!$D$14)</f>
        <v/>
      </c>
      <c r="D213" s="60" t="str">
        <f>IF(Table2[[#This Row],[Counter Number]]="","",Table1[[#This Row],[Old Bus Number]])</f>
        <v/>
      </c>
      <c r="E213" s="60" t="str">
        <f>IF(Table2[[#This Row],[Counter Number]]="","",Application!$D$15)</f>
        <v/>
      </c>
      <c r="F213" s="60" t="str">
        <f>IF(Table2[[#This Row],[Counter Number]]="","","On Highway")</f>
        <v/>
      </c>
      <c r="G213" s="60" t="str">
        <f>IF(Table2[[#This Row],[Counter Number]]="","",I213)</f>
        <v/>
      </c>
      <c r="H213" s="60" t="str">
        <f>IF(Table2[[#This Row],[Counter Number]]="","","Georgia")</f>
        <v/>
      </c>
      <c r="I213" s="60" t="str">
        <f>IF(Table2[[#This Row],[Counter Number]]="","",Application!$D$16)</f>
        <v/>
      </c>
      <c r="J213" s="60" t="str">
        <f>IF(Table2[[#This Row],[Counter Number]]="","",Application!$D$21)</f>
        <v/>
      </c>
      <c r="K213" s="60" t="str">
        <f>IF(Table2[[#This Row],[Counter Number]]="","",Application!$J$21)</f>
        <v/>
      </c>
      <c r="L213" s="60" t="str">
        <f>IF(Table2[[#This Row],[Counter Number]]="","","School Bus")</f>
        <v/>
      </c>
      <c r="M213" s="60" t="str">
        <f>IF(Table2[[#This Row],[Counter Number]]="","","School Bus")</f>
        <v/>
      </c>
      <c r="N213" s="60" t="str">
        <f>IF(Table2[[#This Row],[Counter Number]]="","",1)</f>
        <v/>
      </c>
      <c r="O213" s="60" t="str">
        <f>IF(Table2[[#This Row],[Counter Number]]="","",Table1[[#This Row],[Vehicle Identification Number(s):]])</f>
        <v/>
      </c>
      <c r="P213" s="60" t="str">
        <f>IF(Table2[[#This Row],[Counter Number]]="","",Table1[[#This Row],[Old Bus Manufacturer:]])</f>
        <v/>
      </c>
      <c r="Q213" s="60" t="str">
        <f>IF(Table2[[#This Row],[Counter Number]]="","",Table1[[#This Row],[Vehicle Model:]])</f>
        <v/>
      </c>
      <c r="R213" s="165" t="str">
        <f>IF(Table2[[#This Row],[Counter Number]]="","",Table1[[#This Row],[Vehicle Model Year:]])</f>
        <v/>
      </c>
      <c r="S213" s="60" t="str">
        <f>IF(Table2[[#This Row],[Counter Number]]="","",Table1[[#This Row],[Engine Serial Number(s):]])</f>
        <v/>
      </c>
      <c r="T213" s="60" t="str">
        <f>IF(Table2[[#This Row],[Counter Number]]="","",Table1[[#This Row],[Engine Make:]])</f>
        <v/>
      </c>
      <c r="U213" s="60" t="str">
        <f>IF(Table2[[#This Row],[Counter Number]]="","",Table1[[#This Row],[Engine Model:]])</f>
        <v/>
      </c>
      <c r="V213" s="165" t="str">
        <f>IF(Table2[[#This Row],[Counter Number]]="","",Table1[[#This Row],[Engine Model Year:]])</f>
        <v/>
      </c>
      <c r="W213" s="60" t="str">
        <f>IF(Table2[[#This Row],[Counter Number]]="","","NA")</f>
        <v/>
      </c>
      <c r="X213" s="165" t="str">
        <f>IF(Table2[[#This Row],[Counter Number]]="","",Table1[[#This Row],[Engine Horsepower (HP):]])</f>
        <v/>
      </c>
      <c r="Y213" s="165" t="str">
        <f>IF(Table2[[#This Row],[Counter Number]]="","",Table1[[#This Row],[Engine Cylinder Displacement (L):]]&amp;" L")</f>
        <v/>
      </c>
      <c r="Z213" s="165" t="str">
        <f>IF(Table2[[#This Row],[Counter Number]]="","",Table1[[#This Row],[Engine Number of Cylinders:]])</f>
        <v/>
      </c>
      <c r="AA213" s="166" t="str">
        <f>IF(Table2[[#This Row],[Counter Number]]="","",Table1[[#This Row],[Engine Family Name:]])</f>
        <v/>
      </c>
      <c r="AB213" s="60" t="str">
        <f>IF(Table2[[#This Row],[Counter Number]]="","","ULSD")</f>
        <v/>
      </c>
      <c r="AC213" s="167" t="str">
        <f>IF(Table2[[#This Row],[Counter Number]]="","",Table2[[#This Row],[Annual Miles Traveled:]]/Table1[[#This Row],[Old Fuel (mpg)]])</f>
        <v/>
      </c>
      <c r="AD213" s="60" t="str">
        <f>IF(Table2[[#This Row],[Counter Number]]="","","NA")</f>
        <v/>
      </c>
      <c r="AE213" s="168" t="str">
        <f>IF(Table2[[#This Row],[Counter Number]]="","",Table1[[#This Row],[Annual Miles Traveled]])</f>
        <v/>
      </c>
      <c r="AF213" s="169" t="str">
        <f>IF(Table2[[#This Row],[Counter Number]]="","",Table1[[#This Row],[Annual Idling Hours:]])</f>
        <v/>
      </c>
      <c r="AG213" s="60" t="str">
        <f>IF(Table2[[#This Row],[Counter Number]]="","","NA")</f>
        <v/>
      </c>
      <c r="AH213" s="165" t="str">
        <f>IF(Table2[[#This Row],[Counter Number]]="","",IF(Application!$J$25="Set Policy",Table1[[#This Row],[Remaining Life (years)         Set Policy]],Table1[[#This Row],[Remaining Life (years)               Case-by-Case]]))</f>
        <v/>
      </c>
      <c r="AI213" s="165" t="str">
        <f>IF(Table2[[#This Row],[Counter Number]]="","",IF(Application!$J$25="Case-by-Case","NA",Table2[[#This Row],[Fiscal Year of EPA Funds Used:]]+Table2[[#This Row],[Remaining Life:]]))</f>
        <v/>
      </c>
      <c r="AJ213" s="165"/>
      <c r="AK213" s="170" t="str">
        <f>IF(Table2[[#This Row],[Counter Number]]="","",Application!$D$14+1)</f>
        <v/>
      </c>
      <c r="AL213" s="60" t="str">
        <f>IF(Table2[[#This Row],[Counter Number]]="","","Vehicle Replacement")</f>
        <v/>
      </c>
      <c r="AM21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3" s="171" t="str">
        <f>IF(Table2[[#This Row],[Counter Number]]="","",Table1[[#This Row],[Cost of New Bus:]])</f>
        <v/>
      </c>
      <c r="AO213" s="60" t="str">
        <f>IF(Table2[[#This Row],[Counter Number]]="","","NA")</f>
        <v/>
      </c>
      <c r="AP213" s="165" t="str">
        <f>IF(Table2[[#This Row],[Counter Number]]="","",Table1[[#This Row],[New Engine Model Year:]])</f>
        <v/>
      </c>
      <c r="AQ213" s="60" t="str">
        <f>IF(Table2[[#This Row],[Counter Number]]="","","NA")</f>
        <v/>
      </c>
      <c r="AR213" s="165" t="str">
        <f>IF(Table2[[#This Row],[Counter Number]]="","",Table1[[#This Row],[New Engine Horsepower (HP):]])</f>
        <v/>
      </c>
      <c r="AS213" s="60" t="str">
        <f>IF(Table2[[#This Row],[Counter Number]]="","","NA")</f>
        <v/>
      </c>
      <c r="AT213" s="165" t="str">
        <f>IF(Table2[[#This Row],[Counter Number]]="","",Table1[[#This Row],[New Engine Cylinder Displacement (L):]]&amp;" L")</f>
        <v/>
      </c>
      <c r="AU213" s="114" t="str">
        <f>IF(Table2[[#This Row],[Counter Number]]="","",Table1[[#This Row],[New Engine Number of Cylinders:]])</f>
        <v/>
      </c>
      <c r="AV213" s="60" t="str">
        <f>IF(Table2[[#This Row],[Counter Number]]="","",Table1[[#This Row],[New Engine Family Name:]])</f>
        <v/>
      </c>
      <c r="AW21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3" s="60" t="str">
        <f>IF(Table2[[#This Row],[Counter Number]]="","","NA")</f>
        <v/>
      </c>
      <c r="AY213" s="172" t="str">
        <f>IF(Table2[[#This Row],[Counter Number]]="","",IF(Table2[[#This Row],[New Engine Fuel Type:]]="ULSD",Table1[[#This Row],[Annual Miles Traveled]]/Table1[[#This Row],[New Fuel (mpg) if Diesel]],""))</f>
        <v/>
      </c>
      <c r="AZ213" s="60"/>
      <c r="BA213" s="173" t="str">
        <f>IF(Table2[[#This Row],[Counter Number]]="","",Table2[[#This Row],[Annual Miles Traveled:]]*VLOOKUP(Table2[[#This Row],[Engine Model Year:]],EFTable[],3,FALSE))</f>
        <v/>
      </c>
      <c r="BB213" s="173" t="str">
        <f>IF(Table2[[#This Row],[Counter Number]]="","",Table2[[#This Row],[Annual Miles Traveled:]]*IF(Table2[[#This Row],[New Engine Fuel Type:]]="ULSD",VLOOKUP(Table2[[#This Row],[New Engine Model Year:]],EFTable[],3,FALSE),VLOOKUP(Table2[[#This Row],[New Engine Fuel Type:]],EFTable[],3,FALSE)))</f>
        <v/>
      </c>
      <c r="BC213" s="187" t="str">
        <f>IF(Table2[[#This Row],[Counter Number]]="","",Table2[[#This Row],[Old Bus NOx Emissions (tons/yr)]]-Table2[[#This Row],[New Bus NOx Emissions (tons/yr)]])</f>
        <v/>
      </c>
      <c r="BD213" s="188" t="str">
        <f>IF(Table2[[#This Row],[Counter Number]]="","",Table2[[#This Row],[Reduction Bus NOx Emissions (tons/yr)]]/Table2[[#This Row],[Old Bus NOx Emissions (tons/yr)]])</f>
        <v/>
      </c>
      <c r="BE213" s="175" t="str">
        <f>IF(Table2[[#This Row],[Counter Number]]="","",Table2[[#This Row],[Reduction Bus NOx Emissions (tons/yr)]]*Table2[[#This Row],[Remaining Life:]])</f>
        <v/>
      </c>
      <c r="BF213" s="189" t="str">
        <f>IF(Table2[[#This Row],[Counter Number]]="","",IF(Table2[[#This Row],[Lifetime NOx Reduction (tons)]]=0,"NA",Table2[[#This Row],[Upgrade Cost Per Unit]]/Table2[[#This Row],[Lifetime NOx Reduction (tons)]]))</f>
        <v/>
      </c>
      <c r="BG213" s="190" t="str">
        <f>IF(Table2[[#This Row],[Counter Number]]="","",Table2[[#This Row],[Annual Miles Traveled:]]*VLOOKUP(Table2[[#This Row],[Engine Model Year:]],EF!$A$2:$G$27,4,FALSE))</f>
        <v/>
      </c>
      <c r="BH213" s="173" t="str">
        <f>IF(Table2[[#This Row],[Counter Number]]="","",Table2[[#This Row],[Annual Miles Traveled:]]*IF(Table2[[#This Row],[New Engine Fuel Type:]]="ULSD",VLOOKUP(Table2[[#This Row],[New Engine Model Year:]],EFTable[],4,FALSE),VLOOKUP(Table2[[#This Row],[New Engine Fuel Type:]],EFTable[],4,FALSE)))</f>
        <v/>
      </c>
      <c r="BI213" s="191" t="str">
        <f>IF(Table2[[#This Row],[Counter Number]]="","",Table2[[#This Row],[Old Bus PM2.5 Emissions (tons/yr)]]-Table2[[#This Row],[New Bus PM2.5 Emissions (tons/yr)]])</f>
        <v/>
      </c>
      <c r="BJ213" s="192" t="str">
        <f>IF(Table2[[#This Row],[Counter Number]]="","",Table2[[#This Row],[Reduction Bus PM2.5 Emissions (tons/yr)]]/Table2[[#This Row],[Old Bus PM2.5 Emissions (tons/yr)]])</f>
        <v/>
      </c>
      <c r="BK213" s="193" t="str">
        <f>IF(Table2[[#This Row],[Counter Number]]="","",Table2[[#This Row],[Reduction Bus PM2.5 Emissions (tons/yr)]]*Table2[[#This Row],[Remaining Life:]])</f>
        <v/>
      </c>
      <c r="BL213" s="194" t="str">
        <f>IF(Table2[[#This Row],[Counter Number]]="","",IF(Table2[[#This Row],[Lifetime PM2.5 Reduction (tons)]]=0,"NA",Table2[[#This Row],[Upgrade Cost Per Unit]]/Table2[[#This Row],[Lifetime PM2.5 Reduction (tons)]]))</f>
        <v/>
      </c>
      <c r="BM213" s="179" t="str">
        <f>IF(Table2[[#This Row],[Counter Number]]="","",Table2[[#This Row],[Annual Miles Traveled:]]*VLOOKUP(Table2[[#This Row],[Engine Model Year:]],EF!$A$2:$G$40,5,FALSE))</f>
        <v/>
      </c>
      <c r="BN213" s="173" t="str">
        <f>IF(Table2[[#This Row],[Counter Number]]="","",Table2[[#This Row],[Annual Miles Traveled:]]*IF(Table2[[#This Row],[New Engine Fuel Type:]]="ULSD",VLOOKUP(Table2[[#This Row],[New Engine Model Year:]],EFTable[],5,FALSE),VLOOKUP(Table2[[#This Row],[New Engine Fuel Type:]],EFTable[],5,FALSE)))</f>
        <v/>
      </c>
      <c r="BO213" s="190" t="str">
        <f>IF(Table2[[#This Row],[Counter Number]]="","",Table2[[#This Row],[Old Bus HC Emissions (tons/yr)]]-Table2[[#This Row],[New Bus HC Emissions (tons/yr)]])</f>
        <v/>
      </c>
      <c r="BP213" s="188" t="str">
        <f>IF(Table2[[#This Row],[Counter Number]]="","",Table2[[#This Row],[Reduction Bus HC Emissions (tons/yr)]]/Table2[[#This Row],[Old Bus HC Emissions (tons/yr)]])</f>
        <v/>
      </c>
      <c r="BQ213" s="193" t="str">
        <f>IF(Table2[[#This Row],[Counter Number]]="","",Table2[[#This Row],[Reduction Bus HC Emissions (tons/yr)]]*Table2[[#This Row],[Remaining Life:]])</f>
        <v/>
      </c>
      <c r="BR213" s="194" t="str">
        <f>IF(Table2[[#This Row],[Counter Number]]="","",IF(Table2[[#This Row],[Lifetime HC Reduction (tons)]]=0,"NA",Table2[[#This Row],[Upgrade Cost Per Unit]]/Table2[[#This Row],[Lifetime HC Reduction (tons)]]))</f>
        <v/>
      </c>
      <c r="BS213" s="191" t="str">
        <f>IF(Table2[[#This Row],[Counter Number]]="","",Table2[[#This Row],[Annual Miles Traveled:]]*VLOOKUP(Table2[[#This Row],[Engine Model Year:]],EF!$A$2:$G$27,6,FALSE))</f>
        <v/>
      </c>
      <c r="BT213" s="173" t="str">
        <f>IF(Table2[[#This Row],[Counter Number]]="","",Table2[[#This Row],[Annual Miles Traveled:]]*IF(Table2[[#This Row],[New Engine Fuel Type:]]="ULSD",VLOOKUP(Table2[[#This Row],[New Engine Model Year:]],EFTable[],6,FALSE),VLOOKUP(Table2[[#This Row],[New Engine Fuel Type:]],EFTable[],6,FALSE)))</f>
        <v/>
      </c>
      <c r="BU213" s="190" t="str">
        <f>IF(Table2[[#This Row],[Counter Number]]="","",Table2[[#This Row],[Old Bus CO Emissions (tons/yr)]]-Table2[[#This Row],[New Bus CO Emissions (tons/yr)]])</f>
        <v/>
      </c>
      <c r="BV213" s="188" t="str">
        <f>IF(Table2[[#This Row],[Counter Number]]="","",Table2[[#This Row],[Reduction Bus CO Emissions (tons/yr)]]/Table2[[#This Row],[Old Bus CO Emissions (tons/yr)]])</f>
        <v/>
      </c>
      <c r="BW213" s="193" t="str">
        <f>IF(Table2[[#This Row],[Counter Number]]="","",Table2[[#This Row],[Reduction Bus CO Emissions (tons/yr)]]*Table2[[#This Row],[Remaining Life:]])</f>
        <v/>
      </c>
      <c r="BX213" s="194" t="str">
        <f>IF(Table2[[#This Row],[Counter Number]]="","",IF(Table2[[#This Row],[Lifetime CO Reduction (tons)]]=0,"NA",Table2[[#This Row],[Upgrade Cost Per Unit]]/Table2[[#This Row],[Lifetime CO Reduction (tons)]]))</f>
        <v/>
      </c>
      <c r="BY213" s="180" t="str">
        <f>IF(Table2[[#This Row],[Counter Number]]="","",Table2[[#This Row],[Old ULSD Used (gal):]]*VLOOKUP(Table2[[#This Row],[Engine Model Year:]],EF!$A$2:$G$27,7,FALSE))</f>
        <v/>
      </c>
      <c r="BZ21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3" s="195" t="str">
        <f>IF(Table2[[#This Row],[Counter Number]]="","",Table2[[#This Row],[Old Bus CO2 Emissions (tons/yr)]]-Table2[[#This Row],[New Bus CO2 Emissions (tons/yr)]])</f>
        <v/>
      </c>
      <c r="CB213" s="188" t="str">
        <f>IF(Table2[[#This Row],[Counter Number]]="","",Table2[[#This Row],[Reduction Bus CO2 Emissions (tons/yr)]]/Table2[[#This Row],[Old Bus CO2 Emissions (tons/yr)]])</f>
        <v/>
      </c>
      <c r="CC213" s="195" t="str">
        <f>IF(Table2[[#This Row],[Counter Number]]="","",Table2[[#This Row],[Reduction Bus CO2 Emissions (tons/yr)]]*Table2[[#This Row],[Remaining Life:]])</f>
        <v/>
      </c>
      <c r="CD213" s="194" t="str">
        <f>IF(Table2[[#This Row],[Counter Number]]="","",IF(Table2[[#This Row],[Lifetime CO2 Reduction (tons)]]=0,"NA",Table2[[#This Row],[Upgrade Cost Per Unit]]/Table2[[#This Row],[Lifetime CO2 Reduction (tons)]]))</f>
        <v/>
      </c>
      <c r="CE213" s="182" t="str">
        <f>IF(Table2[[#This Row],[Counter Number]]="","",IF(Table2[[#This Row],[New ULSD Used (gal):]]="",Table2[[#This Row],[Old ULSD Used (gal):]],Table2[[#This Row],[Old ULSD Used (gal):]]-Table2[[#This Row],[New ULSD Used (gal):]]))</f>
        <v/>
      </c>
      <c r="CF213" s="196" t="str">
        <f>IF(Table2[[#This Row],[Counter Number]]="","",Table2[[#This Row],[Diesel Fuel Reduction (gal/yr)]]/Table2[[#This Row],[Old ULSD Used (gal):]])</f>
        <v/>
      </c>
      <c r="CG213" s="197" t="str">
        <f>IF(Table2[[#This Row],[Counter Number]]="","",Table2[[#This Row],[Diesel Fuel Reduction (gal/yr)]]*Table2[[#This Row],[Remaining Life:]])</f>
        <v/>
      </c>
    </row>
    <row r="214" spans="1:85">
      <c r="A214" s="184" t="str">
        <f>IF(A189&lt;Application!$D$24,A189+1,"")</f>
        <v/>
      </c>
      <c r="B214" s="60" t="str">
        <f>IF(Table2[[#This Row],[Counter Number]]="","",Application!$D$16)</f>
        <v/>
      </c>
      <c r="C214" s="60" t="str">
        <f>IF(Table2[[#This Row],[Counter Number]]="","",Application!$D$14)</f>
        <v/>
      </c>
      <c r="D214" s="60" t="str">
        <f>IF(Table2[[#This Row],[Counter Number]]="","",Table1[[#This Row],[Old Bus Number]])</f>
        <v/>
      </c>
      <c r="E214" s="60" t="str">
        <f>IF(Table2[[#This Row],[Counter Number]]="","",Application!$D$15)</f>
        <v/>
      </c>
      <c r="F214" s="60" t="str">
        <f>IF(Table2[[#This Row],[Counter Number]]="","","On Highway")</f>
        <v/>
      </c>
      <c r="G214" s="60" t="str">
        <f>IF(Table2[[#This Row],[Counter Number]]="","",I214)</f>
        <v/>
      </c>
      <c r="H214" s="60" t="str">
        <f>IF(Table2[[#This Row],[Counter Number]]="","","Georgia")</f>
        <v/>
      </c>
      <c r="I214" s="60" t="str">
        <f>IF(Table2[[#This Row],[Counter Number]]="","",Application!$D$16)</f>
        <v/>
      </c>
      <c r="J214" s="60" t="str">
        <f>IF(Table2[[#This Row],[Counter Number]]="","",Application!$D$21)</f>
        <v/>
      </c>
      <c r="K214" s="60" t="str">
        <f>IF(Table2[[#This Row],[Counter Number]]="","",Application!$J$21)</f>
        <v/>
      </c>
      <c r="L214" s="60" t="str">
        <f>IF(Table2[[#This Row],[Counter Number]]="","","School Bus")</f>
        <v/>
      </c>
      <c r="M214" s="60" t="str">
        <f>IF(Table2[[#This Row],[Counter Number]]="","","School Bus")</f>
        <v/>
      </c>
      <c r="N214" s="60" t="str">
        <f>IF(Table2[[#This Row],[Counter Number]]="","",1)</f>
        <v/>
      </c>
      <c r="O214" s="60" t="str">
        <f>IF(Table2[[#This Row],[Counter Number]]="","",Table1[[#This Row],[Vehicle Identification Number(s):]])</f>
        <v/>
      </c>
      <c r="P214" s="60" t="str">
        <f>IF(Table2[[#This Row],[Counter Number]]="","",Table1[[#This Row],[Old Bus Manufacturer:]])</f>
        <v/>
      </c>
      <c r="Q214" s="60" t="str">
        <f>IF(Table2[[#This Row],[Counter Number]]="","",Table1[[#This Row],[Vehicle Model:]])</f>
        <v/>
      </c>
      <c r="R214" s="165" t="str">
        <f>IF(Table2[[#This Row],[Counter Number]]="","",Table1[[#This Row],[Vehicle Model Year:]])</f>
        <v/>
      </c>
      <c r="S214" s="60" t="str">
        <f>IF(Table2[[#This Row],[Counter Number]]="","",Table1[[#This Row],[Engine Serial Number(s):]])</f>
        <v/>
      </c>
      <c r="T214" s="60" t="str">
        <f>IF(Table2[[#This Row],[Counter Number]]="","",Table1[[#This Row],[Engine Make:]])</f>
        <v/>
      </c>
      <c r="U214" s="60" t="str">
        <f>IF(Table2[[#This Row],[Counter Number]]="","",Table1[[#This Row],[Engine Model:]])</f>
        <v/>
      </c>
      <c r="V214" s="165" t="str">
        <f>IF(Table2[[#This Row],[Counter Number]]="","",Table1[[#This Row],[Engine Model Year:]])</f>
        <v/>
      </c>
      <c r="W214" s="60" t="str">
        <f>IF(Table2[[#This Row],[Counter Number]]="","","NA")</f>
        <v/>
      </c>
      <c r="X214" s="165" t="str">
        <f>IF(Table2[[#This Row],[Counter Number]]="","",Table1[[#This Row],[Engine Horsepower (HP):]])</f>
        <v/>
      </c>
      <c r="Y214" s="165" t="str">
        <f>IF(Table2[[#This Row],[Counter Number]]="","",Table1[[#This Row],[Engine Cylinder Displacement (L):]]&amp;" L")</f>
        <v/>
      </c>
      <c r="Z214" s="165" t="str">
        <f>IF(Table2[[#This Row],[Counter Number]]="","",Table1[[#This Row],[Engine Number of Cylinders:]])</f>
        <v/>
      </c>
      <c r="AA214" s="166" t="str">
        <f>IF(Table2[[#This Row],[Counter Number]]="","",Table1[[#This Row],[Engine Family Name:]])</f>
        <v/>
      </c>
      <c r="AB214" s="60" t="str">
        <f>IF(Table2[[#This Row],[Counter Number]]="","","ULSD")</f>
        <v/>
      </c>
      <c r="AC214" s="167" t="str">
        <f>IF(Table2[[#This Row],[Counter Number]]="","",Table2[[#This Row],[Annual Miles Traveled:]]/Table1[[#This Row],[Old Fuel (mpg)]])</f>
        <v/>
      </c>
      <c r="AD214" s="60" t="str">
        <f>IF(Table2[[#This Row],[Counter Number]]="","","NA")</f>
        <v/>
      </c>
      <c r="AE214" s="168" t="str">
        <f>IF(Table2[[#This Row],[Counter Number]]="","",Table1[[#This Row],[Annual Miles Traveled]])</f>
        <v/>
      </c>
      <c r="AF214" s="169" t="str">
        <f>IF(Table2[[#This Row],[Counter Number]]="","",Table1[[#This Row],[Annual Idling Hours:]])</f>
        <v/>
      </c>
      <c r="AG214" s="60" t="str">
        <f>IF(Table2[[#This Row],[Counter Number]]="","","NA")</f>
        <v/>
      </c>
      <c r="AH214" s="165" t="str">
        <f>IF(Table2[[#This Row],[Counter Number]]="","",IF(Application!$J$25="Set Policy",Table1[[#This Row],[Remaining Life (years)         Set Policy]],Table1[[#This Row],[Remaining Life (years)               Case-by-Case]]))</f>
        <v/>
      </c>
      <c r="AI214" s="165" t="str">
        <f>IF(Table2[[#This Row],[Counter Number]]="","",IF(Application!$J$25="Case-by-Case","NA",Table2[[#This Row],[Fiscal Year of EPA Funds Used:]]+Table2[[#This Row],[Remaining Life:]]))</f>
        <v/>
      </c>
      <c r="AJ214" s="165"/>
      <c r="AK214" s="170" t="str">
        <f>IF(Table2[[#This Row],[Counter Number]]="","",Application!$D$14+1)</f>
        <v/>
      </c>
      <c r="AL214" s="60" t="str">
        <f>IF(Table2[[#This Row],[Counter Number]]="","","Vehicle Replacement")</f>
        <v/>
      </c>
      <c r="AM21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4" s="171" t="str">
        <f>IF(Table2[[#This Row],[Counter Number]]="","",Table1[[#This Row],[Cost of New Bus:]])</f>
        <v/>
      </c>
      <c r="AO214" s="60" t="str">
        <f>IF(Table2[[#This Row],[Counter Number]]="","","NA")</f>
        <v/>
      </c>
      <c r="AP214" s="165" t="str">
        <f>IF(Table2[[#This Row],[Counter Number]]="","",Table1[[#This Row],[New Engine Model Year:]])</f>
        <v/>
      </c>
      <c r="AQ214" s="60" t="str">
        <f>IF(Table2[[#This Row],[Counter Number]]="","","NA")</f>
        <v/>
      </c>
      <c r="AR214" s="165" t="str">
        <f>IF(Table2[[#This Row],[Counter Number]]="","",Table1[[#This Row],[New Engine Horsepower (HP):]])</f>
        <v/>
      </c>
      <c r="AS214" s="60" t="str">
        <f>IF(Table2[[#This Row],[Counter Number]]="","","NA")</f>
        <v/>
      </c>
      <c r="AT214" s="165" t="str">
        <f>IF(Table2[[#This Row],[Counter Number]]="","",Table1[[#This Row],[New Engine Cylinder Displacement (L):]]&amp;" L")</f>
        <v/>
      </c>
      <c r="AU214" s="114" t="str">
        <f>IF(Table2[[#This Row],[Counter Number]]="","",Table1[[#This Row],[New Engine Number of Cylinders:]])</f>
        <v/>
      </c>
      <c r="AV214" s="60" t="str">
        <f>IF(Table2[[#This Row],[Counter Number]]="","",Table1[[#This Row],[New Engine Family Name:]])</f>
        <v/>
      </c>
      <c r="AW21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4" s="60" t="str">
        <f>IF(Table2[[#This Row],[Counter Number]]="","","NA")</f>
        <v/>
      </c>
      <c r="AY214" s="172" t="str">
        <f>IF(Table2[[#This Row],[Counter Number]]="","",IF(Table2[[#This Row],[New Engine Fuel Type:]]="ULSD",Table1[[#This Row],[Annual Miles Traveled]]/Table1[[#This Row],[New Fuel (mpg) if Diesel]],""))</f>
        <v/>
      </c>
      <c r="AZ214" s="60"/>
      <c r="BA214" s="173" t="str">
        <f>IF(Table2[[#This Row],[Counter Number]]="","",Table2[[#This Row],[Annual Miles Traveled:]]*VLOOKUP(Table2[[#This Row],[Engine Model Year:]],EFTable[],3,FALSE))</f>
        <v/>
      </c>
      <c r="BB214" s="173" t="str">
        <f>IF(Table2[[#This Row],[Counter Number]]="","",Table2[[#This Row],[Annual Miles Traveled:]]*IF(Table2[[#This Row],[New Engine Fuel Type:]]="ULSD",VLOOKUP(Table2[[#This Row],[New Engine Model Year:]],EFTable[],3,FALSE),VLOOKUP(Table2[[#This Row],[New Engine Fuel Type:]],EFTable[],3,FALSE)))</f>
        <v/>
      </c>
      <c r="BC214" s="187" t="str">
        <f>IF(Table2[[#This Row],[Counter Number]]="","",Table2[[#This Row],[Old Bus NOx Emissions (tons/yr)]]-Table2[[#This Row],[New Bus NOx Emissions (tons/yr)]])</f>
        <v/>
      </c>
      <c r="BD214" s="188" t="str">
        <f>IF(Table2[[#This Row],[Counter Number]]="","",Table2[[#This Row],[Reduction Bus NOx Emissions (tons/yr)]]/Table2[[#This Row],[Old Bus NOx Emissions (tons/yr)]])</f>
        <v/>
      </c>
      <c r="BE214" s="175" t="str">
        <f>IF(Table2[[#This Row],[Counter Number]]="","",Table2[[#This Row],[Reduction Bus NOx Emissions (tons/yr)]]*Table2[[#This Row],[Remaining Life:]])</f>
        <v/>
      </c>
      <c r="BF214" s="189" t="str">
        <f>IF(Table2[[#This Row],[Counter Number]]="","",IF(Table2[[#This Row],[Lifetime NOx Reduction (tons)]]=0,"NA",Table2[[#This Row],[Upgrade Cost Per Unit]]/Table2[[#This Row],[Lifetime NOx Reduction (tons)]]))</f>
        <v/>
      </c>
      <c r="BG214" s="190" t="str">
        <f>IF(Table2[[#This Row],[Counter Number]]="","",Table2[[#This Row],[Annual Miles Traveled:]]*VLOOKUP(Table2[[#This Row],[Engine Model Year:]],EF!$A$2:$G$27,4,FALSE))</f>
        <v/>
      </c>
      <c r="BH214" s="173" t="str">
        <f>IF(Table2[[#This Row],[Counter Number]]="","",Table2[[#This Row],[Annual Miles Traveled:]]*IF(Table2[[#This Row],[New Engine Fuel Type:]]="ULSD",VLOOKUP(Table2[[#This Row],[New Engine Model Year:]],EFTable[],4,FALSE),VLOOKUP(Table2[[#This Row],[New Engine Fuel Type:]],EFTable[],4,FALSE)))</f>
        <v/>
      </c>
      <c r="BI214" s="191" t="str">
        <f>IF(Table2[[#This Row],[Counter Number]]="","",Table2[[#This Row],[Old Bus PM2.5 Emissions (tons/yr)]]-Table2[[#This Row],[New Bus PM2.5 Emissions (tons/yr)]])</f>
        <v/>
      </c>
      <c r="BJ214" s="192" t="str">
        <f>IF(Table2[[#This Row],[Counter Number]]="","",Table2[[#This Row],[Reduction Bus PM2.5 Emissions (tons/yr)]]/Table2[[#This Row],[Old Bus PM2.5 Emissions (tons/yr)]])</f>
        <v/>
      </c>
      <c r="BK214" s="193" t="str">
        <f>IF(Table2[[#This Row],[Counter Number]]="","",Table2[[#This Row],[Reduction Bus PM2.5 Emissions (tons/yr)]]*Table2[[#This Row],[Remaining Life:]])</f>
        <v/>
      </c>
      <c r="BL214" s="194" t="str">
        <f>IF(Table2[[#This Row],[Counter Number]]="","",IF(Table2[[#This Row],[Lifetime PM2.5 Reduction (tons)]]=0,"NA",Table2[[#This Row],[Upgrade Cost Per Unit]]/Table2[[#This Row],[Lifetime PM2.5 Reduction (tons)]]))</f>
        <v/>
      </c>
      <c r="BM214" s="179" t="str">
        <f>IF(Table2[[#This Row],[Counter Number]]="","",Table2[[#This Row],[Annual Miles Traveled:]]*VLOOKUP(Table2[[#This Row],[Engine Model Year:]],EF!$A$2:$G$40,5,FALSE))</f>
        <v/>
      </c>
      <c r="BN214" s="173" t="str">
        <f>IF(Table2[[#This Row],[Counter Number]]="","",Table2[[#This Row],[Annual Miles Traveled:]]*IF(Table2[[#This Row],[New Engine Fuel Type:]]="ULSD",VLOOKUP(Table2[[#This Row],[New Engine Model Year:]],EFTable[],5,FALSE),VLOOKUP(Table2[[#This Row],[New Engine Fuel Type:]],EFTable[],5,FALSE)))</f>
        <v/>
      </c>
      <c r="BO214" s="190" t="str">
        <f>IF(Table2[[#This Row],[Counter Number]]="","",Table2[[#This Row],[Old Bus HC Emissions (tons/yr)]]-Table2[[#This Row],[New Bus HC Emissions (tons/yr)]])</f>
        <v/>
      </c>
      <c r="BP214" s="188" t="str">
        <f>IF(Table2[[#This Row],[Counter Number]]="","",Table2[[#This Row],[Reduction Bus HC Emissions (tons/yr)]]/Table2[[#This Row],[Old Bus HC Emissions (tons/yr)]])</f>
        <v/>
      </c>
      <c r="BQ214" s="193" t="str">
        <f>IF(Table2[[#This Row],[Counter Number]]="","",Table2[[#This Row],[Reduction Bus HC Emissions (tons/yr)]]*Table2[[#This Row],[Remaining Life:]])</f>
        <v/>
      </c>
      <c r="BR214" s="194" t="str">
        <f>IF(Table2[[#This Row],[Counter Number]]="","",IF(Table2[[#This Row],[Lifetime HC Reduction (tons)]]=0,"NA",Table2[[#This Row],[Upgrade Cost Per Unit]]/Table2[[#This Row],[Lifetime HC Reduction (tons)]]))</f>
        <v/>
      </c>
      <c r="BS214" s="191" t="str">
        <f>IF(Table2[[#This Row],[Counter Number]]="","",Table2[[#This Row],[Annual Miles Traveled:]]*VLOOKUP(Table2[[#This Row],[Engine Model Year:]],EF!$A$2:$G$27,6,FALSE))</f>
        <v/>
      </c>
      <c r="BT214" s="173" t="str">
        <f>IF(Table2[[#This Row],[Counter Number]]="","",Table2[[#This Row],[Annual Miles Traveled:]]*IF(Table2[[#This Row],[New Engine Fuel Type:]]="ULSD",VLOOKUP(Table2[[#This Row],[New Engine Model Year:]],EFTable[],6,FALSE),VLOOKUP(Table2[[#This Row],[New Engine Fuel Type:]],EFTable[],6,FALSE)))</f>
        <v/>
      </c>
      <c r="BU214" s="190" t="str">
        <f>IF(Table2[[#This Row],[Counter Number]]="","",Table2[[#This Row],[Old Bus CO Emissions (tons/yr)]]-Table2[[#This Row],[New Bus CO Emissions (tons/yr)]])</f>
        <v/>
      </c>
      <c r="BV214" s="188" t="str">
        <f>IF(Table2[[#This Row],[Counter Number]]="","",Table2[[#This Row],[Reduction Bus CO Emissions (tons/yr)]]/Table2[[#This Row],[Old Bus CO Emissions (tons/yr)]])</f>
        <v/>
      </c>
      <c r="BW214" s="193" t="str">
        <f>IF(Table2[[#This Row],[Counter Number]]="","",Table2[[#This Row],[Reduction Bus CO Emissions (tons/yr)]]*Table2[[#This Row],[Remaining Life:]])</f>
        <v/>
      </c>
      <c r="BX214" s="194" t="str">
        <f>IF(Table2[[#This Row],[Counter Number]]="","",IF(Table2[[#This Row],[Lifetime CO Reduction (tons)]]=0,"NA",Table2[[#This Row],[Upgrade Cost Per Unit]]/Table2[[#This Row],[Lifetime CO Reduction (tons)]]))</f>
        <v/>
      </c>
      <c r="BY214" s="180" t="str">
        <f>IF(Table2[[#This Row],[Counter Number]]="","",Table2[[#This Row],[Old ULSD Used (gal):]]*VLOOKUP(Table2[[#This Row],[Engine Model Year:]],EF!$A$2:$G$27,7,FALSE))</f>
        <v/>
      </c>
      <c r="BZ21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4" s="195" t="str">
        <f>IF(Table2[[#This Row],[Counter Number]]="","",Table2[[#This Row],[Old Bus CO2 Emissions (tons/yr)]]-Table2[[#This Row],[New Bus CO2 Emissions (tons/yr)]])</f>
        <v/>
      </c>
      <c r="CB214" s="188" t="str">
        <f>IF(Table2[[#This Row],[Counter Number]]="","",Table2[[#This Row],[Reduction Bus CO2 Emissions (tons/yr)]]/Table2[[#This Row],[Old Bus CO2 Emissions (tons/yr)]])</f>
        <v/>
      </c>
      <c r="CC214" s="195" t="str">
        <f>IF(Table2[[#This Row],[Counter Number]]="","",Table2[[#This Row],[Reduction Bus CO2 Emissions (tons/yr)]]*Table2[[#This Row],[Remaining Life:]])</f>
        <v/>
      </c>
      <c r="CD214" s="194" t="str">
        <f>IF(Table2[[#This Row],[Counter Number]]="","",IF(Table2[[#This Row],[Lifetime CO2 Reduction (tons)]]=0,"NA",Table2[[#This Row],[Upgrade Cost Per Unit]]/Table2[[#This Row],[Lifetime CO2 Reduction (tons)]]))</f>
        <v/>
      </c>
      <c r="CE214" s="182" t="str">
        <f>IF(Table2[[#This Row],[Counter Number]]="","",IF(Table2[[#This Row],[New ULSD Used (gal):]]="",Table2[[#This Row],[Old ULSD Used (gal):]],Table2[[#This Row],[Old ULSD Used (gal):]]-Table2[[#This Row],[New ULSD Used (gal):]]))</f>
        <v/>
      </c>
      <c r="CF214" s="196" t="str">
        <f>IF(Table2[[#This Row],[Counter Number]]="","",Table2[[#This Row],[Diesel Fuel Reduction (gal/yr)]]/Table2[[#This Row],[Old ULSD Used (gal):]])</f>
        <v/>
      </c>
      <c r="CG214" s="197" t="str">
        <f>IF(Table2[[#This Row],[Counter Number]]="","",Table2[[#This Row],[Diesel Fuel Reduction (gal/yr)]]*Table2[[#This Row],[Remaining Life:]])</f>
        <v/>
      </c>
    </row>
    <row r="215" spans="1:85">
      <c r="A215" s="184" t="str">
        <f>IF(A190&lt;Application!$D$24,A190+1,"")</f>
        <v/>
      </c>
      <c r="B215" s="60" t="str">
        <f>IF(Table2[[#This Row],[Counter Number]]="","",Application!$D$16)</f>
        <v/>
      </c>
      <c r="C215" s="60" t="str">
        <f>IF(Table2[[#This Row],[Counter Number]]="","",Application!$D$14)</f>
        <v/>
      </c>
      <c r="D215" s="60" t="str">
        <f>IF(Table2[[#This Row],[Counter Number]]="","",Table1[[#This Row],[Old Bus Number]])</f>
        <v/>
      </c>
      <c r="E215" s="60" t="str">
        <f>IF(Table2[[#This Row],[Counter Number]]="","",Application!$D$15)</f>
        <v/>
      </c>
      <c r="F215" s="60" t="str">
        <f>IF(Table2[[#This Row],[Counter Number]]="","","On Highway")</f>
        <v/>
      </c>
      <c r="G215" s="60" t="str">
        <f>IF(Table2[[#This Row],[Counter Number]]="","",I215)</f>
        <v/>
      </c>
      <c r="H215" s="60" t="str">
        <f>IF(Table2[[#This Row],[Counter Number]]="","","Georgia")</f>
        <v/>
      </c>
      <c r="I215" s="60" t="str">
        <f>IF(Table2[[#This Row],[Counter Number]]="","",Application!$D$16)</f>
        <v/>
      </c>
      <c r="J215" s="60" t="str">
        <f>IF(Table2[[#This Row],[Counter Number]]="","",Application!$D$21)</f>
        <v/>
      </c>
      <c r="K215" s="60" t="str">
        <f>IF(Table2[[#This Row],[Counter Number]]="","",Application!$J$21)</f>
        <v/>
      </c>
      <c r="L215" s="60" t="str">
        <f>IF(Table2[[#This Row],[Counter Number]]="","","School Bus")</f>
        <v/>
      </c>
      <c r="M215" s="60" t="str">
        <f>IF(Table2[[#This Row],[Counter Number]]="","","School Bus")</f>
        <v/>
      </c>
      <c r="N215" s="60" t="str">
        <f>IF(Table2[[#This Row],[Counter Number]]="","",1)</f>
        <v/>
      </c>
      <c r="O215" s="60" t="str">
        <f>IF(Table2[[#This Row],[Counter Number]]="","",Table1[[#This Row],[Vehicle Identification Number(s):]])</f>
        <v/>
      </c>
      <c r="P215" s="60" t="str">
        <f>IF(Table2[[#This Row],[Counter Number]]="","",Table1[[#This Row],[Old Bus Manufacturer:]])</f>
        <v/>
      </c>
      <c r="Q215" s="60" t="str">
        <f>IF(Table2[[#This Row],[Counter Number]]="","",Table1[[#This Row],[Vehicle Model:]])</f>
        <v/>
      </c>
      <c r="R215" s="165" t="str">
        <f>IF(Table2[[#This Row],[Counter Number]]="","",Table1[[#This Row],[Vehicle Model Year:]])</f>
        <v/>
      </c>
      <c r="S215" s="60" t="str">
        <f>IF(Table2[[#This Row],[Counter Number]]="","",Table1[[#This Row],[Engine Serial Number(s):]])</f>
        <v/>
      </c>
      <c r="T215" s="60" t="str">
        <f>IF(Table2[[#This Row],[Counter Number]]="","",Table1[[#This Row],[Engine Make:]])</f>
        <v/>
      </c>
      <c r="U215" s="60" t="str">
        <f>IF(Table2[[#This Row],[Counter Number]]="","",Table1[[#This Row],[Engine Model:]])</f>
        <v/>
      </c>
      <c r="V215" s="165" t="str">
        <f>IF(Table2[[#This Row],[Counter Number]]="","",Table1[[#This Row],[Engine Model Year:]])</f>
        <v/>
      </c>
      <c r="W215" s="60" t="str">
        <f>IF(Table2[[#This Row],[Counter Number]]="","","NA")</f>
        <v/>
      </c>
      <c r="X215" s="165" t="str">
        <f>IF(Table2[[#This Row],[Counter Number]]="","",Table1[[#This Row],[Engine Horsepower (HP):]])</f>
        <v/>
      </c>
      <c r="Y215" s="165" t="str">
        <f>IF(Table2[[#This Row],[Counter Number]]="","",Table1[[#This Row],[Engine Cylinder Displacement (L):]]&amp;" L")</f>
        <v/>
      </c>
      <c r="Z215" s="165" t="str">
        <f>IF(Table2[[#This Row],[Counter Number]]="","",Table1[[#This Row],[Engine Number of Cylinders:]])</f>
        <v/>
      </c>
      <c r="AA215" s="166" t="str">
        <f>IF(Table2[[#This Row],[Counter Number]]="","",Table1[[#This Row],[Engine Family Name:]])</f>
        <v/>
      </c>
      <c r="AB215" s="60" t="str">
        <f>IF(Table2[[#This Row],[Counter Number]]="","","ULSD")</f>
        <v/>
      </c>
      <c r="AC215" s="167" t="str">
        <f>IF(Table2[[#This Row],[Counter Number]]="","",Table2[[#This Row],[Annual Miles Traveled:]]/Table1[[#This Row],[Old Fuel (mpg)]])</f>
        <v/>
      </c>
      <c r="AD215" s="60" t="str">
        <f>IF(Table2[[#This Row],[Counter Number]]="","","NA")</f>
        <v/>
      </c>
      <c r="AE215" s="168" t="str">
        <f>IF(Table2[[#This Row],[Counter Number]]="","",Table1[[#This Row],[Annual Miles Traveled]])</f>
        <v/>
      </c>
      <c r="AF215" s="169" t="str">
        <f>IF(Table2[[#This Row],[Counter Number]]="","",Table1[[#This Row],[Annual Idling Hours:]])</f>
        <v/>
      </c>
      <c r="AG215" s="60" t="str">
        <f>IF(Table2[[#This Row],[Counter Number]]="","","NA")</f>
        <v/>
      </c>
      <c r="AH215" s="165" t="str">
        <f>IF(Table2[[#This Row],[Counter Number]]="","",IF(Application!$J$25="Set Policy",Table1[[#This Row],[Remaining Life (years)         Set Policy]],Table1[[#This Row],[Remaining Life (years)               Case-by-Case]]))</f>
        <v/>
      </c>
      <c r="AI215" s="165" t="str">
        <f>IF(Table2[[#This Row],[Counter Number]]="","",IF(Application!$J$25="Case-by-Case","NA",Table2[[#This Row],[Fiscal Year of EPA Funds Used:]]+Table2[[#This Row],[Remaining Life:]]))</f>
        <v/>
      </c>
      <c r="AJ215" s="165"/>
      <c r="AK215" s="170" t="str">
        <f>IF(Table2[[#This Row],[Counter Number]]="","",Application!$D$14+1)</f>
        <v/>
      </c>
      <c r="AL215" s="60" t="str">
        <f>IF(Table2[[#This Row],[Counter Number]]="","","Vehicle Replacement")</f>
        <v/>
      </c>
      <c r="AM21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5" s="171" t="str">
        <f>IF(Table2[[#This Row],[Counter Number]]="","",Table1[[#This Row],[Cost of New Bus:]])</f>
        <v/>
      </c>
      <c r="AO215" s="60" t="str">
        <f>IF(Table2[[#This Row],[Counter Number]]="","","NA")</f>
        <v/>
      </c>
      <c r="AP215" s="165" t="str">
        <f>IF(Table2[[#This Row],[Counter Number]]="","",Table1[[#This Row],[New Engine Model Year:]])</f>
        <v/>
      </c>
      <c r="AQ215" s="60" t="str">
        <f>IF(Table2[[#This Row],[Counter Number]]="","","NA")</f>
        <v/>
      </c>
      <c r="AR215" s="165" t="str">
        <f>IF(Table2[[#This Row],[Counter Number]]="","",Table1[[#This Row],[New Engine Horsepower (HP):]])</f>
        <v/>
      </c>
      <c r="AS215" s="60" t="str">
        <f>IF(Table2[[#This Row],[Counter Number]]="","","NA")</f>
        <v/>
      </c>
      <c r="AT215" s="165" t="str">
        <f>IF(Table2[[#This Row],[Counter Number]]="","",Table1[[#This Row],[New Engine Cylinder Displacement (L):]]&amp;" L")</f>
        <v/>
      </c>
      <c r="AU215" s="114" t="str">
        <f>IF(Table2[[#This Row],[Counter Number]]="","",Table1[[#This Row],[New Engine Number of Cylinders:]])</f>
        <v/>
      </c>
      <c r="AV215" s="60" t="str">
        <f>IF(Table2[[#This Row],[Counter Number]]="","",Table1[[#This Row],[New Engine Family Name:]])</f>
        <v/>
      </c>
      <c r="AW21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5" s="60" t="str">
        <f>IF(Table2[[#This Row],[Counter Number]]="","","NA")</f>
        <v/>
      </c>
      <c r="AY215" s="172" t="str">
        <f>IF(Table2[[#This Row],[Counter Number]]="","",IF(Table2[[#This Row],[New Engine Fuel Type:]]="ULSD",Table1[[#This Row],[Annual Miles Traveled]]/Table1[[#This Row],[New Fuel (mpg) if Diesel]],""))</f>
        <v/>
      </c>
      <c r="AZ215" s="60"/>
      <c r="BA215" s="173" t="str">
        <f>IF(Table2[[#This Row],[Counter Number]]="","",Table2[[#This Row],[Annual Miles Traveled:]]*VLOOKUP(Table2[[#This Row],[Engine Model Year:]],EFTable[],3,FALSE))</f>
        <v/>
      </c>
      <c r="BB215" s="173" t="str">
        <f>IF(Table2[[#This Row],[Counter Number]]="","",Table2[[#This Row],[Annual Miles Traveled:]]*IF(Table2[[#This Row],[New Engine Fuel Type:]]="ULSD",VLOOKUP(Table2[[#This Row],[New Engine Model Year:]],EFTable[],3,FALSE),VLOOKUP(Table2[[#This Row],[New Engine Fuel Type:]],EFTable[],3,FALSE)))</f>
        <v/>
      </c>
      <c r="BC215" s="187" t="str">
        <f>IF(Table2[[#This Row],[Counter Number]]="","",Table2[[#This Row],[Old Bus NOx Emissions (tons/yr)]]-Table2[[#This Row],[New Bus NOx Emissions (tons/yr)]])</f>
        <v/>
      </c>
      <c r="BD215" s="188" t="str">
        <f>IF(Table2[[#This Row],[Counter Number]]="","",Table2[[#This Row],[Reduction Bus NOx Emissions (tons/yr)]]/Table2[[#This Row],[Old Bus NOx Emissions (tons/yr)]])</f>
        <v/>
      </c>
      <c r="BE215" s="175" t="str">
        <f>IF(Table2[[#This Row],[Counter Number]]="","",Table2[[#This Row],[Reduction Bus NOx Emissions (tons/yr)]]*Table2[[#This Row],[Remaining Life:]])</f>
        <v/>
      </c>
      <c r="BF215" s="189" t="str">
        <f>IF(Table2[[#This Row],[Counter Number]]="","",IF(Table2[[#This Row],[Lifetime NOx Reduction (tons)]]=0,"NA",Table2[[#This Row],[Upgrade Cost Per Unit]]/Table2[[#This Row],[Lifetime NOx Reduction (tons)]]))</f>
        <v/>
      </c>
      <c r="BG215" s="190" t="str">
        <f>IF(Table2[[#This Row],[Counter Number]]="","",Table2[[#This Row],[Annual Miles Traveled:]]*VLOOKUP(Table2[[#This Row],[Engine Model Year:]],EF!$A$2:$G$27,4,FALSE))</f>
        <v/>
      </c>
      <c r="BH215" s="173" t="str">
        <f>IF(Table2[[#This Row],[Counter Number]]="","",Table2[[#This Row],[Annual Miles Traveled:]]*IF(Table2[[#This Row],[New Engine Fuel Type:]]="ULSD",VLOOKUP(Table2[[#This Row],[New Engine Model Year:]],EFTable[],4,FALSE),VLOOKUP(Table2[[#This Row],[New Engine Fuel Type:]],EFTable[],4,FALSE)))</f>
        <v/>
      </c>
      <c r="BI215" s="191" t="str">
        <f>IF(Table2[[#This Row],[Counter Number]]="","",Table2[[#This Row],[Old Bus PM2.5 Emissions (tons/yr)]]-Table2[[#This Row],[New Bus PM2.5 Emissions (tons/yr)]])</f>
        <v/>
      </c>
      <c r="BJ215" s="192" t="str">
        <f>IF(Table2[[#This Row],[Counter Number]]="","",Table2[[#This Row],[Reduction Bus PM2.5 Emissions (tons/yr)]]/Table2[[#This Row],[Old Bus PM2.5 Emissions (tons/yr)]])</f>
        <v/>
      </c>
      <c r="BK215" s="193" t="str">
        <f>IF(Table2[[#This Row],[Counter Number]]="","",Table2[[#This Row],[Reduction Bus PM2.5 Emissions (tons/yr)]]*Table2[[#This Row],[Remaining Life:]])</f>
        <v/>
      </c>
      <c r="BL215" s="194" t="str">
        <f>IF(Table2[[#This Row],[Counter Number]]="","",IF(Table2[[#This Row],[Lifetime PM2.5 Reduction (tons)]]=0,"NA",Table2[[#This Row],[Upgrade Cost Per Unit]]/Table2[[#This Row],[Lifetime PM2.5 Reduction (tons)]]))</f>
        <v/>
      </c>
      <c r="BM215" s="179" t="str">
        <f>IF(Table2[[#This Row],[Counter Number]]="","",Table2[[#This Row],[Annual Miles Traveled:]]*VLOOKUP(Table2[[#This Row],[Engine Model Year:]],EF!$A$2:$G$40,5,FALSE))</f>
        <v/>
      </c>
      <c r="BN215" s="173" t="str">
        <f>IF(Table2[[#This Row],[Counter Number]]="","",Table2[[#This Row],[Annual Miles Traveled:]]*IF(Table2[[#This Row],[New Engine Fuel Type:]]="ULSD",VLOOKUP(Table2[[#This Row],[New Engine Model Year:]],EFTable[],5,FALSE),VLOOKUP(Table2[[#This Row],[New Engine Fuel Type:]],EFTable[],5,FALSE)))</f>
        <v/>
      </c>
      <c r="BO215" s="190" t="str">
        <f>IF(Table2[[#This Row],[Counter Number]]="","",Table2[[#This Row],[Old Bus HC Emissions (tons/yr)]]-Table2[[#This Row],[New Bus HC Emissions (tons/yr)]])</f>
        <v/>
      </c>
      <c r="BP215" s="188" t="str">
        <f>IF(Table2[[#This Row],[Counter Number]]="","",Table2[[#This Row],[Reduction Bus HC Emissions (tons/yr)]]/Table2[[#This Row],[Old Bus HC Emissions (tons/yr)]])</f>
        <v/>
      </c>
      <c r="BQ215" s="193" t="str">
        <f>IF(Table2[[#This Row],[Counter Number]]="","",Table2[[#This Row],[Reduction Bus HC Emissions (tons/yr)]]*Table2[[#This Row],[Remaining Life:]])</f>
        <v/>
      </c>
      <c r="BR215" s="194" t="str">
        <f>IF(Table2[[#This Row],[Counter Number]]="","",IF(Table2[[#This Row],[Lifetime HC Reduction (tons)]]=0,"NA",Table2[[#This Row],[Upgrade Cost Per Unit]]/Table2[[#This Row],[Lifetime HC Reduction (tons)]]))</f>
        <v/>
      </c>
      <c r="BS215" s="191" t="str">
        <f>IF(Table2[[#This Row],[Counter Number]]="","",Table2[[#This Row],[Annual Miles Traveled:]]*VLOOKUP(Table2[[#This Row],[Engine Model Year:]],EF!$A$2:$G$27,6,FALSE))</f>
        <v/>
      </c>
      <c r="BT215" s="173" t="str">
        <f>IF(Table2[[#This Row],[Counter Number]]="","",Table2[[#This Row],[Annual Miles Traveled:]]*IF(Table2[[#This Row],[New Engine Fuel Type:]]="ULSD",VLOOKUP(Table2[[#This Row],[New Engine Model Year:]],EFTable[],6,FALSE),VLOOKUP(Table2[[#This Row],[New Engine Fuel Type:]],EFTable[],6,FALSE)))</f>
        <v/>
      </c>
      <c r="BU215" s="190" t="str">
        <f>IF(Table2[[#This Row],[Counter Number]]="","",Table2[[#This Row],[Old Bus CO Emissions (tons/yr)]]-Table2[[#This Row],[New Bus CO Emissions (tons/yr)]])</f>
        <v/>
      </c>
      <c r="BV215" s="188" t="str">
        <f>IF(Table2[[#This Row],[Counter Number]]="","",Table2[[#This Row],[Reduction Bus CO Emissions (tons/yr)]]/Table2[[#This Row],[Old Bus CO Emissions (tons/yr)]])</f>
        <v/>
      </c>
      <c r="BW215" s="193" t="str">
        <f>IF(Table2[[#This Row],[Counter Number]]="","",Table2[[#This Row],[Reduction Bus CO Emissions (tons/yr)]]*Table2[[#This Row],[Remaining Life:]])</f>
        <v/>
      </c>
      <c r="BX215" s="194" t="str">
        <f>IF(Table2[[#This Row],[Counter Number]]="","",IF(Table2[[#This Row],[Lifetime CO Reduction (tons)]]=0,"NA",Table2[[#This Row],[Upgrade Cost Per Unit]]/Table2[[#This Row],[Lifetime CO Reduction (tons)]]))</f>
        <v/>
      </c>
      <c r="BY215" s="180" t="str">
        <f>IF(Table2[[#This Row],[Counter Number]]="","",Table2[[#This Row],[Old ULSD Used (gal):]]*VLOOKUP(Table2[[#This Row],[Engine Model Year:]],EF!$A$2:$G$27,7,FALSE))</f>
        <v/>
      </c>
      <c r="BZ21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5" s="195" t="str">
        <f>IF(Table2[[#This Row],[Counter Number]]="","",Table2[[#This Row],[Old Bus CO2 Emissions (tons/yr)]]-Table2[[#This Row],[New Bus CO2 Emissions (tons/yr)]])</f>
        <v/>
      </c>
      <c r="CB215" s="188" t="str">
        <f>IF(Table2[[#This Row],[Counter Number]]="","",Table2[[#This Row],[Reduction Bus CO2 Emissions (tons/yr)]]/Table2[[#This Row],[Old Bus CO2 Emissions (tons/yr)]])</f>
        <v/>
      </c>
      <c r="CC215" s="195" t="str">
        <f>IF(Table2[[#This Row],[Counter Number]]="","",Table2[[#This Row],[Reduction Bus CO2 Emissions (tons/yr)]]*Table2[[#This Row],[Remaining Life:]])</f>
        <v/>
      </c>
      <c r="CD215" s="194" t="str">
        <f>IF(Table2[[#This Row],[Counter Number]]="","",IF(Table2[[#This Row],[Lifetime CO2 Reduction (tons)]]=0,"NA",Table2[[#This Row],[Upgrade Cost Per Unit]]/Table2[[#This Row],[Lifetime CO2 Reduction (tons)]]))</f>
        <v/>
      </c>
      <c r="CE215" s="182" t="str">
        <f>IF(Table2[[#This Row],[Counter Number]]="","",IF(Table2[[#This Row],[New ULSD Used (gal):]]="",Table2[[#This Row],[Old ULSD Used (gal):]],Table2[[#This Row],[Old ULSD Used (gal):]]-Table2[[#This Row],[New ULSD Used (gal):]]))</f>
        <v/>
      </c>
      <c r="CF215" s="196" t="str">
        <f>IF(Table2[[#This Row],[Counter Number]]="","",Table2[[#This Row],[Diesel Fuel Reduction (gal/yr)]]/Table2[[#This Row],[Old ULSD Used (gal):]])</f>
        <v/>
      </c>
      <c r="CG215" s="197" t="str">
        <f>IF(Table2[[#This Row],[Counter Number]]="","",Table2[[#This Row],[Diesel Fuel Reduction (gal/yr)]]*Table2[[#This Row],[Remaining Life:]])</f>
        <v/>
      </c>
    </row>
    <row r="216" spans="1:85">
      <c r="A216" s="184" t="str">
        <f>IF(A191&lt;Application!$D$24,A191+1,"")</f>
        <v/>
      </c>
      <c r="B216" s="60" t="str">
        <f>IF(Table2[[#This Row],[Counter Number]]="","",Application!$D$16)</f>
        <v/>
      </c>
      <c r="C216" s="60" t="str">
        <f>IF(Table2[[#This Row],[Counter Number]]="","",Application!$D$14)</f>
        <v/>
      </c>
      <c r="D216" s="60" t="str">
        <f>IF(Table2[[#This Row],[Counter Number]]="","",Table1[[#This Row],[Old Bus Number]])</f>
        <v/>
      </c>
      <c r="E216" s="60" t="str">
        <f>IF(Table2[[#This Row],[Counter Number]]="","",Application!$D$15)</f>
        <v/>
      </c>
      <c r="F216" s="60" t="str">
        <f>IF(Table2[[#This Row],[Counter Number]]="","","On Highway")</f>
        <v/>
      </c>
      <c r="G216" s="60" t="str">
        <f>IF(Table2[[#This Row],[Counter Number]]="","",I216)</f>
        <v/>
      </c>
      <c r="H216" s="60" t="str">
        <f>IF(Table2[[#This Row],[Counter Number]]="","","Georgia")</f>
        <v/>
      </c>
      <c r="I216" s="60" t="str">
        <f>IF(Table2[[#This Row],[Counter Number]]="","",Application!$D$16)</f>
        <v/>
      </c>
      <c r="J216" s="60" t="str">
        <f>IF(Table2[[#This Row],[Counter Number]]="","",Application!$D$21)</f>
        <v/>
      </c>
      <c r="K216" s="60" t="str">
        <f>IF(Table2[[#This Row],[Counter Number]]="","",Application!$J$21)</f>
        <v/>
      </c>
      <c r="L216" s="60" t="str">
        <f>IF(Table2[[#This Row],[Counter Number]]="","","School Bus")</f>
        <v/>
      </c>
      <c r="M216" s="60" t="str">
        <f>IF(Table2[[#This Row],[Counter Number]]="","","School Bus")</f>
        <v/>
      </c>
      <c r="N216" s="60" t="str">
        <f>IF(Table2[[#This Row],[Counter Number]]="","",1)</f>
        <v/>
      </c>
      <c r="O216" s="60" t="str">
        <f>IF(Table2[[#This Row],[Counter Number]]="","",Table1[[#This Row],[Vehicle Identification Number(s):]])</f>
        <v/>
      </c>
      <c r="P216" s="60" t="str">
        <f>IF(Table2[[#This Row],[Counter Number]]="","",Table1[[#This Row],[Old Bus Manufacturer:]])</f>
        <v/>
      </c>
      <c r="Q216" s="60" t="str">
        <f>IF(Table2[[#This Row],[Counter Number]]="","",Table1[[#This Row],[Vehicle Model:]])</f>
        <v/>
      </c>
      <c r="R216" s="165" t="str">
        <f>IF(Table2[[#This Row],[Counter Number]]="","",Table1[[#This Row],[Vehicle Model Year:]])</f>
        <v/>
      </c>
      <c r="S216" s="60" t="str">
        <f>IF(Table2[[#This Row],[Counter Number]]="","",Table1[[#This Row],[Engine Serial Number(s):]])</f>
        <v/>
      </c>
      <c r="T216" s="60" t="str">
        <f>IF(Table2[[#This Row],[Counter Number]]="","",Table1[[#This Row],[Engine Make:]])</f>
        <v/>
      </c>
      <c r="U216" s="60" t="str">
        <f>IF(Table2[[#This Row],[Counter Number]]="","",Table1[[#This Row],[Engine Model:]])</f>
        <v/>
      </c>
      <c r="V216" s="165" t="str">
        <f>IF(Table2[[#This Row],[Counter Number]]="","",Table1[[#This Row],[Engine Model Year:]])</f>
        <v/>
      </c>
      <c r="W216" s="60" t="str">
        <f>IF(Table2[[#This Row],[Counter Number]]="","","NA")</f>
        <v/>
      </c>
      <c r="X216" s="165" t="str">
        <f>IF(Table2[[#This Row],[Counter Number]]="","",Table1[[#This Row],[Engine Horsepower (HP):]])</f>
        <v/>
      </c>
      <c r="Y216" s="165" t="str">
        <f>IF(Table2[[#This Row],[Counter Number]]="","",Table1[[#This Row],[Engine Cylinder Displacement (L):]]&amp;" L")</f>
        <v/>
      </c>
      <c r="Z216" s="165" t="str">
        <f>IF(Table2[[#This Row],[Counter Number]]="","",Table1[[#This Row],[Engine Number of Cylinders:]])</f>
        <v/>
      </c>
      <c r="AA216" s="166" t="str">
        <f>IF(Table2[[#This Row],[Counter Number]]="","",Table1[[#This Row],[Engine Family Name:]])</f>
        <v/>
      </c>
      <c r="AB216" s="60" t="str">
        <f>IF(Table2[[#This Row],[Counter Number]]="","","ULSD")</f>
        <v/>
      </c>
      <c r="AC216" s="167" t="str">
        <f>IF(Table2[[#This Row],[Counter Number]]="","",Table2[[#This Row],[Annual Miles Traveled:]]/Table1[[#This Row],[Old Fuel (mpg)]])</f>
        <v/>
      </c>
      <c r="AD216" s="60" t="str">
        <f>IF(Table2[[#This Row],[Counter Number]]="","","NA")</f>
        <v/>
      </c>
      <c r="AE216" s="168" t="str">
        <f>IF(Table2[[#This Row],[Counter Number]]="","",Table1[[#This Row],[Annual Miles Traveled]])</f>
        <v/>
      </c>
      <c r="AF216" s="169" t="str">
        <f>IF(Table2[[#This Row],[Counter Number]]="","",Table1[[#This Row],[Annual Idling Hours:]])</f>
        <v/>
      </c>
      <c r="AG216" s="60" t="str">
        <f>IF(Table2[[#This Row],[Counter Number]]="","","NA")</f>
        <v/>
      </c>
      <c r="AH216" s="165" t="str">
        <f>IF(Table2[[#This Row],[Counter Number]]="","",IF(Application!$J$25="Set Policy",Table1[[#This Row],[Remaining Life (years)         Set Policy]],Table1[[#This Row],[Remaining Life (years)               Case-by-Case]]))</f>
        <v/>
      </c>
      <c r="AI216" s="165" t="str">
        <f>IF(Table2[[#This Row],[Counter Number]]="","",IF(Application!$J$25="Case-by-Case","NA",Table2[[#This Row],[Fiscal Year of EPA Funds Used:]]+Table2[[#This Row],[Remaining Life:]]))</f>
        <v/>
      </c>
      <c r="AJ216" s="165"/>
      <c r="AK216" s="170" t="str">
        <f>IF(Table2[[#This Row],[Counter Number]]="","",Application!$D$14+1)</f>
        <v/>
      </c>
      <c r="AL216" s="60" t="str">
        <f>IF(Table2[[#This Row],[Counter Number]]="","","Vehicle Replacement")</f>
        <v/>
      </c>
      <c r="AM21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6" s="171" t="str">
        <f>IF(Table2[[#This Row],[Counter Number]]="","",Table1[[#This Row],[Cost of New Bus:]])</f>
        <v/>
      </c>
      <c r="AO216" s="60" t="str">
        <f>IF(Table2[[#This Row],[Counter Number]]="","","NA")</f>
        <v/>
      </c>
      <c r="AP216" s="165" t="str">
        <f>IF(Table2[[#This Row],[Counter Number]]="","",Table1[[#This Row],[New Engine Model Year:]])</f>
        <v/>
      </c>
      <c r="AQ216" s="60" t="str">
        <f>IF(Table2[[#This Row],[Counter Number]]="","","NA")</f>
        <v/>
      </c>
      <c r="AR216" s="165" t="str">
        <f>IF(Table2[[#This Row],[Counter Number]]="","",Table1[[#This Row],[New Engine Horsepower (HP):]])</f>
        <v/>
      </c>
      <c r="AS216" s="60" t="str">
        <f>IF(Table2[[#This Row],[Counter Number]]="","","NA")</f>
        <v/>
      </c>
      <c r="AT216" s="165" t="str">
        <f>IF(Table2[[#This Row],[Counter Number]]="","",Table1[[#This Row],[New Engine Cylinder Displacement (L):]]&amp;" L")</f>
        <v/>
      </c>
      <c r="AU216" s="114" t="str">
        <f>IF(Table2[[#This Row],[Counter Number]]="","",Table1[[#This Row],[New Engine Number of Cylinders:]])</f>
        <v/>
      </c>
      <c r="AV216" s="60" t="str">
        <f>IF(Table2[[#This Row],[Counter Number]]="","",Table1[[#This Row],[New Engine Family Name:]])</f>
        <v/>
      </c>
      <c r="AW21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6" s="60" t="str">
        <f>IF(Table2[[#This Row],[Counter Number]]="","","NA")</f>
        <v/>
      </c>
      <c r="AY216" s="172" t="str">
        <f>IF(Table2[[#This Row],[Counter Number]]="","",IF(Table2[[#This Row],[New Engine Fuel Type:]]="ULSD",Table1[[#This Row],[Annual Miles Traveled]]/Table1[[#This Row],[New Fuel (mpg) if Diesel]],""))</f>
        <v/>
      </c>
      <c r="AZ216" s="60"/>
      <c r="BA216" s="173" t="str">
        <f>IF(Table2[[#This Row],[Counter Number]]="","",Table2[[#This Row],[Annual Miles Traveled:]]*VLOOKUP(Table2[[#This Row],[Engine Model Year:]],EFTable[],3,FALSE))</f>
        <v/>
      </c>
      <c r="BB216" s="173" t="str">
        <f>IF(Table2[[#This Row],[Counter Number]]="","",Table2[[#This Row],[Annual Miles Traveled:]]*IF(Table2[[#This Row],[New Engine Fuel Type:]]="ULSD",VLOOKUP(Table2[[#This Row],[New Engine Model Year:]],EFTable[],3,FALSE),VLOOKUP(Table2[[#This Row],[New Engine Fuel Type:]],EFTable[],3,FALSE)))</f>
        <v/>
      </c>
      <c r="BC216" s="187" t="str">
        <f>IF(Table2[[#This Row],[Counter Number]]="","",Table2[[#This Row],[Old Bus NOx Emissions (tons/yr)]]-Table2[[#This Row],[New Bus NOx Emissions (tons/yr)]])</f>
        <v/>
      </c>
      <c r="BD216" s="188" t="str">
        <f>IF(Table2[[#This Row],[Counter Number]]="","",Table2[[#This Row],[Reduction Bus NOx Emissions (tons/yr)]]/Table2[[#This Row],[Old Bus NOx Emissions (tons/yr)]])</f>
        <v/>
      </c>
      <c r="BE216" s="175" t="str">
        <f>IF(Table2[[#This Row],[Counter Number]]="","",Table2[[#This Row],[Reduction Bus NOx Emissions (tons/yr)]]*Table2[[#This Row],[Remaining Life:]])</f>
        <v/>
      </c>
      <c r="BF216" s="189" t="str">
        <f>IF(Table2[[#This Row],[Counter Number]]="","",IF(Table2[[#This Row],[Lifetime NOx Reduction (tons)]]=0,"NA",Table2[[#This Row],[Upgrade Cost Per Unit]]/Table2[[#This Row],[Lifetime NOx Reduction (tons)]]))</f>
        <v/>
      </c>
      <c r="BG216" s="190" t="str">
        <f>IF(Table2[[#This Row],[Counter Number]]="","",Table2[[#This Row],[Annual Miles Traveled:]]*VLOOKUP(Table2[[#This Row],[Engine Model Year:]],EF!$A$2:$G$27,4,FALSE))</f>
        <v/>
      </c>
      <c r="BH216" s="173" t="str">
        <f>IF(Table2[[#This Row],[Counter Number]]="","",Table2[[#This Row],[Annual Miles Traveled:]]*IF(Table2[[#This Row],[New Engine Fuel Type:]]="ULSD",VLOOKUP(Table2[[#This Row],[New Engine Model Year:]],EFTable[],4,FALSE),VLOOKUP(Table2[[#This Row],[New Engine Fuel Type:]],EFTable[],4,FALSE)))</f>
        <v/>
      </c>
      <c r="BI216" s="191" t="str">
        <f>IF(Table2[[#This Row],[Counter Number]]="","",Table2[[#This Row],[Old Bus PM2.5 Emissions (tons/yr)]]-Table2[[#This Row],[New Bus PM2.5 Emissions (tons/yr)]])</f>
        <v/>
      </c>
      <c r="BJ216" s="192" t="str">
        <f>IF(Table2[[#This Row],[Counter Number]]="","",Table2[[#This Row],[Reduction Bus PM2.5 Emissions (tons/yr)]]/Table2[[#This Row],[Old Bus PM2.5 Emissions (tons/yr)]])</f>
        <v/>
      </c>
      <c r="BK216" s="193" t="str">
        <f>IF(Table2[[#This Row],[Counter Number]]="","",Table2[[#This Row],[Reduction Bus PM2.5 Emissions (tons/yr)]]*Table2[[#This Row],[Remaining Life:]])</f>
        <v/>
      </c>
      <c r="BL216" s="194" t="str">
        <f>IF(Table2[[#This Row],[Counter Number]]="","",IF(Table2[[#This Row],[Lifetime PM2.5 Reduction (tons)]]=0,"NA",Table2[[#This Row],[Upgrade Cost Per Unit]]/Table2[[#This Row],[Lifetime PM2.5 Reduction (tons)]]))</f>
        <v/>
      </c>
      <c r="BM216" s="179" t="str">
        <f>IF(Table2[[#This Row],[Counter Number]]="","",Table2[[#This Row],[Annual Miles Traveled:]]*VLOOKUP(Table2[[#This Row],[Engine Model Year:]],EF!$A$2:$G$40,5,FALSE))</f>
        <v/>
      </c>
      <c r="BN216" s="173" t="str">
        <f>IF(Table2[[#This Row],[Counter Number]]="","",Table2[[#This Row],[Annual Miles Traveled:]]*IF(Table2[[#This Row],[New Engine Fuel Type:]]="ULSD",VLOOKUP(Table2[[#This Row],[New Engine Model Year:]],EFTable[],5,FALSE),VLOOKUP(Table2[[#This Row],[New Engine Fuel Type:]],EFTable[],5,FALSE)))</f>
        <v/>
      </c>
      <c r="BO216" s="190" t="str">
        <f>IF(Table2[[#This Row],[Counter Number]]="","",Table2[[#This Row],[Old Bus HC Emissions (tons/yr)]]-Table2[[#This Row],[New Bus HC Emissions (tons/yr)]])</f>
        <v/>
      </c>
      <c r="BP216" s="188" t="str">
        <f>IF(Table2[[#This Row],[Counter Number]]="","",Table2[[#This Row],[Reduction Bus HC Emissions (tons/yr)]]/Table2[[#This Row],[Old Bus HC Emissions (tons/yr)]])</f>
        <v/>
      </c>
      <c r="BQ216" s="193" t="str">
        <f>IF(Table2[[#This Row],[Counter Number]]="","",Table2[[#This Row],[Reduction Bus HC Emissions (tons/yr)]]*Table2[[#This Row],[Remaining Life:]])</f>
        <v/>
      </c>
      <c r="BR216" s="194" t="str">
        <f>IF(Table2[[#This Row],[Counter Number]]="","",IF(Table2[[#This Row],[Lifetime HC Reduction (tons)]]=0,"NA",Table2[[#This Row],[Upgrade Cost Per Unit]]/Table2[[#This Row],[Lifetime HC Reduction (tons)]]))</f>
        <v/>
      </c>
      <c r="BS216" s="191" t="str">
        <f>IF(Table2[[#This Row],[Counter Number]]="","",Table2[[#This Row],[Annual Miles Traveled:]]*VLOOKUP(Table2[[#This Row],[Engine Model Year:]],EF!$A$2:$G$27,6,FALSE))</f>
        <v/>
      </c>
      <c r="BT216" s="173" t="str">
        <f>IF(Table2[[#This Row],[Counter Number]]="","",Table2[[#This Row],[Annual Miles Traveled:]]*IF(Table2[[#This Row],[New Engine Fuel Type:]]="ULSD",VLOOKUP(Table2[[#This Row],[New Engine Model Year:]],EFTable[],6,FALSE),VLOOKUP(Table2[[#This Row],[New Engine Fuel Type:]],EFTable[],6,FALSE)))</f>
        <v/>
      </c>
      <c r="BU216" s="190" t="str">
        <f>IF(Table2[[#This Row],[Counter Number]]="","",Table2[[#This Row],[Old Bus CO Emissions (tons/yr)]]-Table2[[#This Row],[New Bus CO Emissions (tons/yr)]])</f>
        <v/>
      </c>
      <c r="BV216" s="188" t="str">
        <f>IF(Table2[[#This Row],[Counter Number]]="","",Table2[[#This Row],[Reduction Bus CO Emissions (tons/yr)]]/Table2[[#This Row],[Old Bus CO Emissions (tons/yr)]])</f>
        <v/>
      </c>
      <c r="BW216" s="193" t="str">
        <f>IF(Table2[[#This Row],[Counter Number]]="","",Table2[[#This Row],[Reduction Bus CO Emissions (tons/yr)]]*Table2[[#This Row],[Remaining Life:]])</f>
        <v/>
      </c>
      <c r="BX216" s="194" t="str">
        <f>IF(Table2[[#This Row],[Counter Number]]="","",IF(Table2[[#This Row],[Lifetime CO Reduction (tons)]]=0,"NA",Table2[[#This Row],[Upgrade Cost Per Unit]]/Table2[[#This Row],[Lifetime CO Reduction (tons)]]))</f>
        <v/>
      </c>
      <c r="BY216" s="180" t="str">
        <f>IF(Table2[[#This Row],[Counter Number]]="","",Table2[[#This Row],[Old ULSD Used (gal):]]*VLOOKUP(Table2[[#This Row],[Engine Model Year:]],EF!$A$2:$G$27,7,FALSE))</f>
        <v/>
      </c>
      <c r="BZ21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6" s="195" t="str">
        <f>IF(Table2[[#This Row],[Counter Number]]="","",Table2[[#This Row],[Old Bus CO2 Emissions (tons/yr)]]-Table2[[#This Row],[New Bus CO2 Emissions (tons/yr)]])</f>
        <v/>
      </c>
      <c r="CB216" s="188" t="str">
        <f>IF(Table2[[#This Row],[Counter Number]]="","",Table2[[#This Row],[Reduction Bus CO2 Emissions (tons/yr)]]/Table2[[#This Row],[Old Bus CO2 Emissions (tons/yr)]])</f>
        <v/>
      </c>
      <c r="CC216" s="195" t="str">
        <f>IF(Table2[[#This Row],[Counter Number]]="","",Table2[[#This Row],[Reduction Bus CO2 Emissions (tons/yr)]]*Table2[[#This Row],[Remaining Life:]])</f>
        <v/>
      </c>
      <c r="CD216" s="194" t="str">
        <f>IF(Table2[[#This Row],[Counter Number]]="","",IF(Table2[[#This Row],[Lifetime CO2 Reduction (tons)]]=0,"NA",Table2[[#This Row],[Upgrade Cost Per Unit]]/Table2[[#This Row],[Lifetime CO2 Reduction (tons)]]))</f>
        <v/>
      </c>
      <c r="CE216" s="182" t="str">
        <f>IF(Table2[[#This Row],[Counter Number]]="","",IF(Table2[[#This Row],[New ULSD Used (gal):]]="",Table2[[#This Row],[Old ULSD Used (gal):]],Table2[[#This Row],[Old ULSD Used (gal):]]-Table2[[#This Row],[New ULSD Used (gal):]]))</f>
        <v/>
      </c>
      <c r="CF216" s="196" t="str">
        <f>IF(Table2[[#This Row],[Counter Number]]="","",Table2[[#This Row],[Diesel Fuel Reduction (gal/yr)]]/Table2[[#This Row],[Old ULSD Used (gal):]])</f>
        <v/>
      </c>
      <c r="CG216" s="197" t="str">
        <f>IF(Table2[[#This Row],[Counter Number]]="","",Table2[[#This Row],[Diesel Fuel Reduction (gal/yr)]]*Table2[[#This Row],[Remaining Life:]])</f>
        <v/>
      </c>
    </row>
    <row r="217" spans="1:85">
      <c r="A217" s="184" t="str">
        <f>IF(A192&lt;Application!$D$24,A192+1,"")</f>
        <v/>
      </c>
      <c r="B217" s="60" t="str">
        <f>IF(Table2[[#This Row],[Counter Number]]="","",Application!$D$16)</f>
        <v/>
      </c>
      <c r="C217" s="60" t="str">
        <f>IF(Table2[[#This Row],[Counter Number]]="","",Application!$D$14)</f>
        <v/>
      </c>
      <c r="D217" s="60" t="str">
        <f>IF(Table2[[#This Row],[Counter Number]]="","",Table1[[#This Row],[Old Bus Number]])</f>
        <v/>
      </c>
      <c r="E217" s="60" t="str">
        <f>IF(Table2[[#This Row],[Counter Number]]="","",Application!$D$15)</f>
        <v/>
      </c>
      <c r="F217" s="60" t="str">
        <f>IF(Table2[[#This Row],[Counter Number]]="","","On Highway")</f>
        <v/>
      </c>
      <c r="G217" s="60" t="str">
        <f>IF(Table2[[#This Row],[Counter Number]]="","",I217)</f>
        <v/>
      </c>
      <c r="H217" s="60" t="str">
        <f>IF(Table2[[#This Row],[Counter Number]]="","","Georgia")</f>
        <v/>
      </c>
      <c r="I217" s="60" t="str">
        <f>IF(Table2[[#This Row],[Counter Number]]="","",Application!$D$16)</f>
        <v/>
      </c>
      <c r="J217" s="60" t="str">
        <f>IF(Table2[[#This Row],[Counter Number]]="","",Application!$D$21)</f>
        <v/>
      </c>
      <c r="K217" s="60" t="str">
        <f>IF(Table2[[#This Row],[Counter Number]]="","",Application!$J$21)</f>
        <v/>
      </c>
      <c r="L217" s="60" t="str">
        <f>IF(Table2[[#This Row],[Counter Number]]="","","School Bus")</f>
        <v/>
      </c>
      <c r="M217" s="60" t="str">
        <f>IF(Table2[[#This Row],[Counter Number]]="","","School Bus")</f>
        <v/>
      </c>
      <c r="N217" s="60" t="str">
        <f>IF(Table2[[#This Row],[Counter Number]]="","",1)</f>
        <v/>
      </c>
      <c r="O217" s="60" t="str">
        <f>IF(Table2[[#This Row],[Counter Number]]="","",Table1[[#This Row],[Vehicle Identification Number(s):]])</f>
        <v/>
      </c>
      <c r="P217" s="60" t="str">
        <f>IF(Table2[[#This Row],[Counter Number]]="","",Table1[[#This Row],[Old Bus Manufacturer:]])</f>
        <v/>
      </c>
      <c r="Q217" s="60" t="str">
        <f>IF(Table2[[#This Row],[Counter Number]]="","",Table1[[#This Row],[Vehicle Model:]])</f>
        <v/>
      </c>
      <c r="R217" s="165" t="str">
        <f>IF(Table2[[#This Row],[Counter Number]]="","",Table1[[#This Row],[Vehicle Model Year:]])</f>
        <v/>
      </c>
      <c r="S217" s="60" t="str">
        <f>IF(Table2[[#This Row],[Counter Number]]="","",Table1[[#This Row],[Engine Serial Number(s):]])</f>
        <v/>
      </c>
      <c r="T217" s="60" t="str">
        <f>IF(Table2[[#This Row],[Counter Number]]="","",Table1[[#This Row],[Engine Make:]])</f>
        <v/>
      </c>
      <c r="U217" s="60" t="str">
        <f>IF(Table2[[#This Row],[Counter Number]]="","",Table1[[#This Row],[Engine Model:]])</f>
        <v/>
      </c>
      <c r="V217" s="165" t="str">
        <f>IF(Table2[[#This Row],[Counter Number]]="","",Table1[[#This Row],[Engine Model Year:]])</f>
        <v/>
      </c>
      <c r="W217" s="60" t="str">
        <f>IF(Table2[[#This Row],[Counter Number]]="","","NA")</f>
        <v/>
      </c>
      <c r="X217" s="165" t="str">
        <f>IF(Table2[[#This Row],[Counter Number]]="","",Table1[[#This Row],[Engine Horsepower (HP):]])</f>
        <v/>
      </c>
      <c r="Y217" s="165" t="str">
        <f>IF(Table2[[#This Row],[Counter Number]]="","",Table1[[#This Row],[Engine Cylinder Displacement (L):]]&amp;" L")</f>
        <v/>
      </c>
      <c r="Z217" s="165" t="str">
        <f>IF(Table2[[#This Row],[Counter Number]]="","",Table1[[#This Row],[Engine Number of Cylinders:]])</f>
        <v/>
      </c>
      <c r="AA217" s="166" t="str">
        <f>IF(Table2[[#This Row],[Counter Number]]="","",Table1[[#This Row],[Engine Family Name:]])</f>
        <v/>
      </c>
      <c r="AB217" s="60" t="str">
        <f>IF(Table2[[#This Row],[Counter Number]]="","","ULSD")</f>
        <v/>
      </c>
      <c r="AC217" s="167" t="str">
        <f>IF(Table2[[#This Row],[Counter Number]]="","",Table2[[#This Row],[Annual Miles Traveled:]]/Table1[[#This Row],[Old Fuel (mpg)]])</f>
        <v/>
      </c>
      <c r="AD217" s="60" t="str">
        <f>IF(Table2[[#This Row],[Counter Number]]="","","NA")</f>
        <v/>
      </c>
      <c r="AE217" s="168" t="str">
        <f>IF(Table2[[#This Row],[Counter Number]]="","",Table1[[#This Row],[Annual Miles Traveled]])</f>
        <v/>
      </c>
      <c r="AF217" s="169" t="str">
        <f>IF(Table2[[#This Row],[Counter Number]]="","",Table1[[#This Row],[Annual Idling Hours:]])</f>
        <v/>
      </c>
      <c r="AG217" s="60" t="str">
        <f>IF(Table2[[#This Row],[Counter Number]]="","","NA")</f>
        <v/>
      </c>
      <c r="AH217" s="165" t="str">
        <f>IF(Table2[[#This Row],[Counter Number]]="","",IF(Application!$J$25="Set Policy",Table1[[#This Row],[Remaining Life (years)         Set Policy]],Table1[[#This Row],[Remaining Life (years)               Case-by-Case]]))</f>
        <v/>
      </c>
      <c r="AI217" s="165" t="str">
        <f>IF(Table2[[#This Row],[Counter Number]]="","",IF(Application!$J$25="Case-by-Case","NA",Table2[[#This Row],[Fiscal Year of EPA Funds Used:]]+Table2[[#This Row],[Remaining Life:]]))</f>
        <v/>
      </c>
      <c r="AJ217" s="165"/>
      <c r="AK217" s="170" t="str">
        <f>IF(Table2[[#This Row],[Counter Number]]="","",Application!$D$14+1)</f>
        <v/>
      </c>
      <c r="AL217" s="60" t="str">
        <f>IF(Table2[[#This Row],[Counter Number]]="","","Vehicle Replacement")</f>
        <v/>
      </c>
      <c r="AM21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7" s="171" t="str">
        <f>IF(Table2[[#This Row],[Counter Number]]="","",Table1[[#This Row],[Cost of New Bus:]])</f>
        <v/>
      </c>
      <c r="AO217" s="60" t="str">
        <f>IF(Table2[[#This Row],[Counter Number]]="","","NA")</f>
        <v/>
      </c>
      <c r="AP217" s="165" t="str">
        <f>IF(Table2[[#This Row],[Counter Number]]="","",Table1[[#This Row],[New Engine Model Year:]])</f>
        <v/>
      </c>
      <c r="AQ217" s="60" t="str">
        <f>IF(Table2[[#This Row],[Counter Number]]="","","NA")</f>
        <v/>
      </c>
      <c r="AR217" s="165" t="str">
        <f>IF(Table2[[#This Row],[Counter Number]]="","",Table1[[#This Row],[New Engine Horsepower (HP):]])</f>
        <v/>
      </c>
      <c r="AS217" s="60" t="str">
        <f>IF(Table2[[#This Row],[Counter Number]]="","","NA")</f>
        <v/>
      </c>
      <c r="AT217" s="165" t="str">
        <f>IF(Table2[[#This Row],[Counter Number]]="","",Table1[[#This Row],[New Engine Cylinder Displacement (L):]]&amp;" L")</f>
        <v/>
      </c>
      <c r="AU217" s="114" t="str">
        <f>IF(Table2[[#This Row],[Counter Number]]="","",Table1[[#This Row],[New Engine Number of Cylinders:]])</f>
        <v/>
      </c>
      <c r="AV217" s="60" t="str">
        <f>IF(Table2[[#This Row],[Counter Number]]="","",Table1[[#This Row],[New Engine Family Name:]])</f>
        <v/>
      </c>
      <c r="AW21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7" s="60" t="str">
        <f>IF(Table2[[#This Row],[Counter Number]]="","","NA")</f>
        <v/>
      </c>
      <c r="AY217" s="172" t="str">
        <f>IF(Table2[[#This Row],[Counter Number]]="","",IF(Table2[[#This Row],[New Engine Fuel Type:]]="ULSD",Table1[[#This Row],[Annual Miles Traveled]]/Table1[[#This Row],[New Fuel (mpg) if Diesel]],""))</f>
        <v/>
      </c>
      <c r="AZ217" s="60"/>
      <c r="BA217" s="173" t="str">
        <f>IF(Table2[[#This Row],[Counter Number]]="","",Table2[[#This Row],[Annual Miles Traveled:]]*VLOOKUP(Table2[[#This Row],[Engine Model Year:]],EFTable[],3,FALSE))</f>
        <v/>
      </c>
      <c r="BB217" s="173" t="str">
        <f>IF(Table2[[#This Row],[Counter Number]]="","",Table2[[#This Row],[Annual Miles Traveled:]]*IF(Table2[[#This Row],[New Engine Fuel Type:]]="ULSD",VLOOKUP(Table2[[#This Row],[New Engine Model Year:]],EFTable[],3,FALSE),VLOOKUP(Table2[[#This Row],[New Engine Fuel Type:]],EFTable[],3,FALSE)))</f>
        <v/>
      </c>
      <c r="BC217" s="187" t="str">
        <f>IF(Table2[[#This Row],[Counter Number]]="","",Table2[[#This Row],[Old Bus NOx Emissions (tons/yr)]]-Table2[[#This Row],[New Bus NOx Emissions (tons/yr)]])</f>
        <v/>
      </c>
      <c r="BD217" s="188" t="str">
        <f>IF(Table2[[#This Row],[Counter Number]]="","",Table2[[#This Row],[Reduction Bus NOx Emissions (tons/yr)]]/Table2[[#This Row],[Old Bus NOx Emissions (tons/yr)]])</f>
        <v/>
      </c>
      <c r="BE217" s="175" t="str">
        <f>IF(Table2[[#This Row],[Counter Number]]="","",Table2[[#This Row],[Reduction Bus NOx Emissions (tons/yr)]]*Table2[[#This Row],[Remaining Life:]])</f>
        <v/>
      </c>
      <c r="BF217" s="189" t="str">
        <f>IF(Table2[[#This Row],[Counter Number]]="","",IF(Table2[[#This Row],[Lifetime NOx Reduction (tons)]]=0,"NA",Table2[[#This Row],[Upgrade Cost Per Unit]]/Table2[[#This Row],[Lifetime NOx Reduction (tons)]]))</f>
        <v/>
      </c>
      <c r="BG217" s="190" t="str">
        <f>IF(Table2[[#This Row],[Counter Number]]="","",Table2[[#This Row],[Annual Miles Traveled:]]*VLOOKUP(Table2[[#This Row],[Engine Model Year:]],EF!$A$2:$G$27,4,FALSE))</f>
        <v/>
      </c>
      <c r="BH217" s="173" t="str">
        <f>IF(Table2[[#This Row],[Counter Number]]="","",Table2[[#This Row],[Annual Miles Traveled:]]*IF(Table2[[#This Row],[New Engine Fuel Type:]]="ULSD",VLOOKUP(Table2[[#This Row],[New Engine Model Year:]],EFTable[],4,FALSE),VLOOKUP(Table2[[#This Row],[New Engine Fuel Type:]],EFTable[],4,FALSE)))</f>
        <v/>
      </c>
      <c r="BI217" s="191" t="str">
        <f>IF(Table2[[#This Row],[Counter Number]]="","",Table2[[#This Row],[Old Bus PM2.5 Emissions (tons/yr)]]-Table2[[#This Row],[New Bus PM2.5 Emissions (tons/yr)]])</f>
        <v/>
      </c>
      <c r="BJ217" s="192" t="str">
        <f>IF(Table2[[#This Row],[Counter Number]]="","",Table2[[#This Row],[Reduction Bus PM2.5 Emissions (tons/yr)]]/Table2[[#This Row],[Old Bus PM2.5 Emissions (tons/yr)]])</f>
        <v/>
      </c>
      <c r="BK217" s="193" t="str">
        <f>IF(Table2[[#This Row],[Counter Number]]="","",Table2[[#This Row],[Reduction Bus PM2.5 Emissions (tons/yr)]]*Table2[[#This Row],[Remaining Life:]])</f>
        <v/>
      </c>
      <c r="BL217" s="194" t="str">
        <f>IF(Table2[[#This Row],[Counter Number]]="","",IF(Table2[[#This Row],[Lifetime PM2.5 Reduction (tons)]]=0,"NA",Table2[[#This Row],[Upgrade Cost Per Unit]]/Table2[[#This Row],[Lifetime PM2.5 Reduction (tons)]]))</f>
        <v/>
      </c>
      <c r="BM217" s="179" t="str">
        <f>IF(Table2[[#This Row],[Counter Number]]="","",Table2[[#This Row],[Annual Miles Traveled:]]*VLOOKUP(Table2[[#This Row],[Engine Model Year:]],EF!$A$2:$G$40,5,FALSE))</f>
        <v/>
      </c>
      <c r="BN217" s="173" t="str">
        <f>IF(Table2[[#This Row],[Counter Number]]="","",Table2[[#This Row],[Annual Miles Traveled:]]*IF(Table2[[#This Row],[New Engine Fuel Type:]]="ULSD",VLOOKUP(Table2[[#This Row],[New Engine Model Year:]],EFTable[],5,FALSE),VLOOKUP(Table2[[#This Row],[New Engine Fuel Type:]],EFTable[],5,FALSE)))</f>
        <v/>
      </c>
      <c r="BO217" s="190" t="str">
        <f>IF(Table2[[#This Row],[Counter Number]]="","",Table2[[#This Row],[Old Bus HC Emissions (tons/yr)]]-Table2[[#This Row],[New Bus HC Emissions (tons/yr)]])</f>
        <v/>
      </c>
      <c r="BP217" s="188" t="str">
        <f>IF(Table2[[#This Row],[Counter Number]]="","",Table2[[#This Row],[Reduction Bus HC Emissions (tons/yr)]]/Table2[[#This Row],[Old Bus HC Emissions (tons/yr)]])</f>
        <v/>
      </c>
      <c r="BQ217" s="193" t="str">
        <f>IF(Table2[[#This Row],[Counter Number]]="","",Table2[[#This Row],[Reduction Bus HC Emissions (tons/yr)]]*Table2[[#This Row],[Remaining Life:]])</f>
        <v/>
      </c>
      <c r="BR217" s="194" t="str">
        <f>IF(Table2[[#This Row],[Counter Number]]="","",IF(Table2[[#This Row],[Lifetime HC Reduction (tons)]]=0,"NA",Table2[[#This Row],[Upgrade Cost Per Unit]]/Table2[[#This Row],[Lifetime HC Reduction (tons)]]))</f>
        <v/>
      </c>
      <c r="BS217" s="191" t="str">
        <f>IF(Table2[[#This Row],[Counter Number]]="","",Table2[[#This Row],[Annual Miles Traveled:]]*VLOOKUP(Table2[[#This Row],[Engine Model Year:]],EF!$A$2:$G$27,6,FALSE))</f>
        <v/>
      </c>
      <c r="BT217" s="173" t="str">
        <f>IF(Table2[[#This Row],[Counter Number]]="","",Table2[[#This Row],[Annual Miles Traveled:]]*IF(Table2[[#This Row],[New Engine Fuel Type:]]="ULSD",VLOOKUP(Table2[[#This Row],[New Engine Model Year:]],EFTable[],6,FALSE),VLOOKUP(Table2[[#This Row],[New Engine Fuel Type:]],EFTable[],6,FALSE)))</f>
        <v/>
      </c>
      <c r="BU217" s="190" t="str">
        <f>IF(Table2[[#This Row],[Counter Number]]="","",Table2[[#This Row],[Old Bus CO Emissions (tons/yr)]]-Table2[[#This Row],[New Bus CO Emissions (tons/yr)]])</f>
        <v/>
      </c>
      <c r="BV217" s="188" t="str">
        <f>IF(Table2[[#This Row],[Counter Number]]="","",Table2[[#This Row],[Reduction Bus CO Emissions (tons/yr)]]/Table2[[#This Row],[Old Bus CO Emissions (tons/yr)]])</f>
        <v/>
      </c>
      <c r="BW217" s="193" t="str">
        <f>IF(Table2[[#This Row],[Counter Number]]="","",Table2[[#This Row],[Reduction Bus CO Emissions (tons/yr)]]*Table2[[#This Row],[Remaining Life:]])</f>
        <v/>
      </c>
      <c r="BX217" s="194" t="str">
        <f>IF(Table2[[#This Row],[Counter Number]]="","",IF(Table2[[#This Row],[Lifetime CO Reduction (tons)]]=0,"NA",Table2[[#This Row],[Upgrade Cost Per Unit]]/Table2[[#This Row],[Lifetime CO Reduction (tons)]]))</f>
        <v/>
      </c>
      <c r="BY217" s="180" t="str">
        <f>IF(Table2[[#This Row],[Counter Number]]="","",Table2[[#This Row],[Old ULSD Used (gal):]]*VLOOKUP(Table2[[#This Row],[Engine Model Year:]],EF!$A$2:$G$27,7,FALSE))</f>
        <v/>
      </c>
      <c r="BZ21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7" s="195" t="str">
        <f>IF(Table2[[#This Row],[Counter Number]]="","",Table2[[#This Row],[Old Bus CO2 Emissions (tons/yr)]]-Table2[[#This Row],[New Bus CO2 Emissions (tons/yr)]])</f>
        <v/>
      </c>
      <c r="CB217" s="188" t="str">
        <f>IF(Table2[[#This Row],[Counter Number]]="","",Table2[[#This Row],[Reduction Bus CO2 Emissions (tons/yr)]]/Table2[[#This Row],[Old Bus CO2 Emissions (tons/yr)]])</f>
        <v/>
      </c>
      <c r="CC217" s="195" t="str">
        <f>IF(Table2[[#This Row],[Counter Number]]="","",Table2[[#This Row],[Reduction Bus CO2 Emissions (tons/yr)]]*Table2[[#This Row],[Remaining Life:]])</f>
        <v/>
      </c>
      <c r="CD217" s="194" t="str">
        <f>IF(Table2[[#This Row],[Counter Number]]="","",IF(Table2[[#This Row],[Lifetime CO2 Reduction (tons)]]=0,"NA",Table2[[#This Row],[Upgrade Cost Per Unit]]/Table2[[#This Row],[Lifetime CO2 Reduction (tons)]]))</f>
        <v/>
      </c>
      <c r="CE217" s="182" t="str">
        <f>IF(Table2[[#This Row],[Counter Number]]="","",IF(Table2[[#This Row],[New ULSD Used (gal):]]="",Table2[[#This Row],[Old ULSD Used (gal):]],Table2[[#This Row],[Old ULSD Used (gal):]]-Table2[[#This Row],[New ULSD Used (gal):]]))</f>
        <v/>
      </c>
      <c r="CF217" s="196" t="str">
        <f>IF(Table2[[#This Row],[Counter Number]]="","",Table2[[#This Row],[Diesel Fuel Reduction (gal/yr)]]/Table2[[#This Row],[Old ULSD Used (gal):]])</f>
        <v/>
      </c>
      <c r="CG217" s="197" t="str">
        <f>IF(Table2[[#This Row],[Counter Number]]="","",Table2[[#This Row],[Diesel Fuel Reduction (gal/yr)]]*Table2[[#This Row],[Remaining Life:]])</f>
        <v/>
      </c>
    </row>
    <row r="218" spans="1:85">
      <c r="A218" s="184" t="str">
        <f>IF(A193&lt;Application!$D$24,A193+1,"")</f>
        <v/>
      </c>
      <c r="B218" s="60" t="str">
        <f>IF(Table2[[#This Row],[Counter Number]]="","",Application!$D$16)</f>
        <v/>
      </c>
      <c r="C218" s="60" t="str">
        <f>IF(Table2[[#This Row],[Counter Number]]="","",Application!$D$14)</f>
        <v/>
      </c>
      <c r="D218" s="60" t="str">
        <f>IF(Table2[[#This Row],[Counter Number]]="","",Table1[[#This Row],[Old Bus Number]])</f>
        <v/>
      </c>
      <c r="E218" s="60" t="str">
        <f>IF(Table2[[#This Row],[Counter Number]]="","",Application!$D$15)</f>
        <v/>
      </c>
      <c r="F218" s="60" t="str">
        <f>IF(Table2[[#This Row],[Counter Number]]="","","On Highway")</f>
        <v/>
      </c>
      <c r="G218" s="60" t="str">
        <f>IF(Table2[[#This Row],[Counter Number]]="","",I218)</f>
        <v/>
      </c>
      <c r="H218" s="60" t="str">
        <f>IF(Table2[[#This Row],[Counter Number]]="","","Georgia")</f>
        <v/>
      </c>
      <c r="I218" s="60" t="str">
        <f>IF(Table2[[#This Row],[Counter Number]]="","",Application!$D$16)</f>
        <v/>
      </c>
      <c r="J218" s="60" t="str">
        <f>IF(Table2[[#This Row],[Counter Number]]="","",Application!$D$21)</f>
        <v/>
      </c>
      <c r="K218" s="60" t="str">
        <f>IF(Table2[[#This Row],[Counter Number]]="","",Application!$J$21)</f>
        <v/>
      </c>
      <c r="L218" s="60" t="str">
        <f>IF(Table2[[#This Row],[Counter Number]]="","","School Bus")</f>
        <v/>
      </c>
      <c r="M218" s="60" t="str">
        <f>IF(Table2[[#This Row],[Counter Number]]="","","School Bus")</f>
        <v/>
      </c>
      <c r="N218" s="60" t="str">
        <f>IF(Table2[[#This Row],[Counter Number]]="","",1)</f>
        <v/>
      </c>
      <c r="O218" s="60" t="str">
        <f>IF(Table2[[#This Row],[Counter Number]]="","",Table1[[#This Row],[Vehicle Identification Number(s):]])</f>
        <v/>
      </c>
      <c r="P218" s="60" t="str">
        <f>IF(Table2[[#This Row],[Counter Number]]="","",Table1[[#This Row],[Old Bus Manufacturer:]])</f>
        <v/>
      </c>
      <c r="Q218" s="60" t="str">
        <f>IF(Table2[[#This Row],[Counter Number]]="","",Table1[[#This Row],[Vehicle Model:]])</f>
        <v/>
      </c>
      <c r="R218" s="165" t="str">
        <f>IF(Table2[[#This Row],[Counter Number]]="","",Table1[[#This Row],[Vehicle Model Year:]])</f>
        <v/>
      </c>
      <c r="S218" s="60" t="str">
        <f>IF(Table2[[#This Row],[Counter Number]]="","",Table1[[#This Row],[Engine Serial Number(s):]])</f>
        <v/>
      </c>
      <c r="T218" s="60" t="str">
        <f>IF(Table2[[#This Row],[Counter Number]]="","",Table1[[#This Row],[Engine Make:]])</f>
        <v/>
      </c>
      <c r="U218" s="60" t="str">
        <f>IF(Table2[[#This Row],[Counter Number]]="","",Table1[[#This Row],[Engine Model:]])</f>
        <v/>
      </c>
      <c r="V218" s="165" t="str">
        <f>IF(Table2[[#This Row],[Counter Number]]="","",Table1[[#This Row],[Engine Model Year:]])</f>
        <v/>
      </c>
      <c r="W218" s="60" t="str">
        <f>IF(Table2[[#This Row],[Counter Number]]="","","NA")</f>
        <v/>
      </c>
      <c r="X218" s="165" t="str">
        <f>IF(Table2[[#This Row],[Counter Number]]="","",Table1[[#This Row],[Engine Horsepower (HP):]])</f>
        <v/>
      </c>
      <c r="Y218" s="165" t="str">
        <f>IF(Table2[[#This Row],[Counter Number]]="","",Table1[[#This Row],[Engine Cylinder Displacement (L):]]&amp;" L")</f>
        <v/>
      </c>
      <c r="Z218" s="165" t="str">
        <f>IF(Table2[[#This Row],[Counter Number]]="","",Table1[[#This Row],[Engine Number of Cylinders:]])</f>
        <v/>
      </c>
      <c r="AA218" s="166" t="str">
        <f>IF(Table2[[#This Row],[Counter Number]]="","",Table1[[#This Row],[Engine Family Name:]])</f>
        <v/>
      </c>
      <c r="AB218" s="60" t="str">
        <f>IF(Table2[[#This Row],[Counter Number]]="","","ULSD")</f>
        <v/>
      </c>
      <c r="AC218" s="167" t="str">
        <f>IF(Table2[[#This Row],[Counter Number]]="","",Table2[[#This Row],[Annual Miles Traveled:]]/Table1[[#This Row],[Old Fuel (mpg)]])</f>
        <v/>
      </c>
      <c r="AD218" s="60" t="str">
        <f>IF(Table2[[#This Row],[Counter Number]]="","","NA")</f>
        <v/>
      </c>
      <c r="AE218" s="168" t="str">
        <f>IF(Table2[[#This Row],[Counter Number]]="","",Table1[[#This Row],[Annual Miles Traveled]])</f>
        <v/>
      </c>
      <c r="AF218" s="169" t="str">
        <f>IF(Table2[[#This Row],[Counter Number]]="","",Table1[[#This Row],[Annual Idling Hours:]])</f>
        <v/>
      </c>
      <c r="AG218" s="60" t="str">
        <f>IF(Table2[[#This Row],[Counter Number]]="","","NA")</f>
        <v/>
      </c>
      <c r="AH218" s="165" t="str">
        <f>IF(Table2[[#This Row],[Counter Number]]="","",IF(Application!$J$25="Set Policy",Table1[[#This Row],[Remaining Life (years)         Set Policy]],Table1[[#This Row],[Remaining Life (years)               Case-by-Case]]))</f>
        <v/>
      </c>
      <c r="AI218" s="165" t="str">
        <f>IF(Table2[[#This Row],[Counter Number]]="","",IF(Application!$J$25="Case-by-Case","NA",Table2[[#This Row],[Fiscal Year of EPA Funds Used:]]+Table2[[#This Row],[Remaining Life:]]))</f>
        <v/>
      </c>
      <c r="AJ218" s="165"/>
      <c r="AK218" s="170" t="str">
        <f>IF(Table2[[#This Row],[Counter Number]]="","",Application!$D$14+1)</f>
        <v/>
      </c>
      <c r="AL218" s="60" t="str">
        <f>IF(Table2[[#This Row],[Counter Number]]="","","Vehicle Replacement")</f>
        <v/>
      </c>
      <c r="AM21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8" s="171" t="str">
        <f>IF(Table2[[#This Row],[Counter Number]]="","",Table1[[#This Row],[Cost of New Bus:]])</f>
        <v/>
      </c>
      <c r="AO218" s="60" t="str">
        <f>IF(Table2[[#This Row],[Counter Number]]="","","NA")</f>
        <v/>
      </c>
      <c r="AP218" s="165" t="str">
        <f>IF(Table2[[#This Row],[Counter Number]]="","",Table1[[#This Row],[New Engine Model Year:]])</f>
        <v/>
      </c>
      <c r="AQ218" s="60" t="str">
        <f>IF(Table2[[#This Row],[Counter Number]]="","","NA")</f>
        <v/>
      </c>
      <c r="AR218" s="165" t="str">
        <f>IF(Table2[[#This Row],[Counter Number]]="","",Table1[[#This Row],[New Engine Horsepower (HP):]])</f>
        <v/>
      </c>
      <c r="AS218" s="60" t="str">
        <f>IF(Table2[[#This Row],[Counter Number]]="","","NA")</f>
        <v/>
      </c>
      <c r="AT218" s="165" t="str">
        <f>IF(Table2[[#This Row],[Counter Number]]="","",Table1[[#This Row],[New Engine Cylinder Displacement (L):]]&amp;" L")</f>
        <v/>
      </c>
      <c r="AU218" s="114" t="str">
        <f>IF(Table2[[#This Row],[Counter Number]]="","",Table1[[#This Row],[New Engine Number of Cylinders:]])</f>
        <v/>
      </c>
      <c r="AV218" s="60" t="str">
        <f>IF(Table2[[#This Row],[Counter Number]]="","",Table1[[#This Row],[New Engine Family Name:]])</f>
        <v/>
      </c>
      <c r="AW21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8" s="60" t="str">
        <f>IF(Table2[[#This Row],[Counter Number]]="","","NA")</f>
        <v/>
      </c>
      <c r="AY218" s="172" t="str">
        <f>IF(Table2[[#This Row],[Counter Number]]="","",IF(Table2[[#This Row],[New Engine Fuel Type:]]="ULSD",Table1[[#This Row],[Annual Miles Traveled]]/Table1[[#This Row],[New Fuel (mpg) if Diesel]],""))</f>
        <v/>
      </c>
      <c r="AZ218" s="60"/>
      <c r="BA218" s="173" t="str">
        <f>IF(Table2[[#This Row],[Counter Number]]="","",Table2[[#This Row],[Annual Miles Traveled:]]*VLOOKUP(Table2[[#This Row],[Engine Model Year:]],EFTable[],3,FALSE))</f>
        <v/>
      </c>
      <c r="BB218" s="173" t="str">
        <f>IF(Table2[[#This Row],[Counter Number]]="","",Table2[[#This Row],[Annual Miles Traveled:]]*IF(Table2[[#This Row],[New Engine Fuel Type:]]="ULSD",VLOOKUP(Table2[[#This Row],[New Engine Model Year:]],EFTable[],3,FALSE),VLOOKUP(Table2[[#This Row],[New Engine Fuel Type:]],EFTable[],3,FALSE)))</f>
        <v/>
      </c>
      <c r="BC218" s="187" t="str">
        <f>IF(Table2[[#This Row],[Counter Number]]="","",Table2[[#This Row],[Old Bus NOx Emissions (tons/yr)]]-Table2[[#This Row],[New Bus NOx Emissions (tons/yr)]])</f>
        <v/>
      </c>
      <c r="BD218" s="188" t="str">
        <f>IF(Table2[[#This Row],[Counter Number]]="","",Table2[[#This Row],[Reduction Bus NOx Emissions (tons/yr)]]/Table2[[#This Row],[Old Bus NOx Emissions (tons/yr)]])</f>
        <v/>
      </c>
      <c r="BE218" s="175" t="str">
        <f>IF(Table2[[#This Row],[Counter Number]]="","",Table2[[#This Row],[Reduction Bus NOx Emissions (tons/yr)]]*Table2[[#This Row],[Remaining Life:]])</f>
        <v/>
      </c>
      <c r="BF218" s="189" t="str">
        <f>IF(Table2[[#This Row],[Counter Number]]="","",IF(Table2[[#This Row],[Lifetime NOx Reduction (tons)]]=0,"NA",Table2[[#This Row],[Upgrade Cost Per Unit]]/Table2[[#This Row],[Lifetime NOx Reduction (tons)]]))</f>
        <v/>
      </c>
      <c r="BG218" s="190" t="str">
        <f>IF(Table2[[#This Row],[Counter Number]]="","",Table2[[#This Row],[Annual Miles Traveled:]]*VLOOKUP(Table2[[#This Row],[Engine Model Year:]],EF!$A$2:$G$27,4,FALSE))</f>
        <v/>
      </c>
      <c r="BH218" s="173" t="str">
        <f>IF(Table2[[#This Row],[Counter Number]]="","",Table2[[#This Row],[Annual Miles Traveled:]]*IF(Table2[[#This Row],[New Engine Fuel Type:]]="ULSD",VLOOKUP(Table2[[#This Row],[New Engine Model Year:]],EFTable[],4,FALSE),VLOOKUP(Table2[[#This Row],[New Engine Fuel Type:]],EFTable[],4,FALSE)))</f>
        <v/>
      </c>
      <c r="BI218" s="191" t="str">
        <f>IF(Table2[[#This Row],[Counter Number]]="","",Table2[[#This Row],[Old Bus PM2.5 Emissions (tons/yr)]]-Table2[[#This Row],[New Bus PM2.5 Emissions (tons/yr)]])</f>
        <v/>
      </c>
      <c r="BJ218" s="192" t="str">
        <f>IF(Table2[[#This Row],[Counter Number]]="","",Table2[[#This Row],[Reduction Bus PM2.5 Emissions (tons/yr)]]/Table2[[#This Row],[Old Bus PM2.5 Emissions (tons/yr)]])</f>
        <v/>
      </c>
      <c r="BK218" s="193" t="str">
        <f>IF(Table2[[#This Row],[Counter Number]]="","",Table2[[#This Row],[Reduction Bus PM2.5 Emissions (tons/yr)]]*Table2[[#This Row],[Remaining Life:]])</f>
        <v/>
      </c>
      <c r="BL218" s="194" t="str">
        <f>IF(Table2[[#This Row],[Counter Number]]="","",IF(Table2[[#This Row],[Lifetime PM2.5 Reduction (tons)]]=0,"NA",Table2[[#This Row],[Upgrade Cost Per Unit]]/Table2[[#This Row],[Lifetime PM2.5 Reduction (tons)]]))</f>
        <v/>
      </c>
      <c r="BM218" s="179" t="str">
        <f>IF(Table2[[#This Row],[Counter Number]]="","",Table2[[#This Row],[Annual Miles Traveled:]]*VLOOKUP(Table2[[#This Row],[Engine Model Year:]],EF!$A$2:$G$40,5,FALSE))</f>
        <v/>
      </c>
      <c r="BN218" s="173" t="str">
        <f>IF(Table2[[#This Row],[Counter Number]]="","",Table2[[#This Row],[Annual Miles Traveled:]]*IF(Table2[[#This Row],[New Engine Fuel Type:]]="ULSD",VLOOKUP(Table2[[#This Row],[New Engine Model Year:]],EFTable[],5,FALSE),VLOOKUP(Table2[[#This Row],[New Engine Fuel Type:]],EFTable[],5,FALSE)))</f>
        <v/>
      </c>
      <c r="BO218" s="190" t="str">
        <f>IF(Table2[[#This Row],[Counter Number]]="","",Table2[[#This Row],[Old Bus HC Emissions (tons/yr)]]-Table2[[#This Row],[New Bus HC Emissions (tons/yr)]])</f>
        <v/>
      </c>
      <c r="BP218" s="188" t="str">
        <f>IF(Table2[[#This Row],[Counter Number]]="","",Table2[[#This Row],[Reduction Bus HC Emissions (tons/yr)]]/Table2[[#This Row],[Old Bus HC Emissions (tons/yr)]])</f>
        <v/>
      </c>
      <c r="BQ218" s="193" t="str">
        <f>IF(Table2[[#This Row],[Counter Number]]="","",Table2[[#This Row],[Reduction Bus HC Emissions (tons/yr)]]*Table2[[#This Row],[Remaining Life:]])</f>
        <v/>
      </c>
      <c r="BR218" s="194" t="str">
        <f>IF(Table2[[#This Row],[Counter Number]]="","",IF(Table2[[#This Row],[Lifetime HC Reduction (tons)]]=0,"NA",Table2[[#This Row],[Upgrade Cost Per Unit]]/Table2[[#This Row],[Lifetime HC Reduction (tons)]]))</f>
        <v/>
      </c>
      <c r="BS218" s="191" t="str">
        <f>IF(Table2[[#This Row],[Counter Number]]="","",Table2[[#This Row],[Annual Miles Traveled:]]*VLOOKUP(Table2[[#This Row],[Engine Model Year:]],EF!$A$2:$G$27,6,FALSE))</f>
        <v/>
      </c>
      <c r="BT218" s="173" t="str">
        <f>IF(Table2[[#This Row],[Counter Number]]="","",Table2[[#This Row],[Annual Miles Traveled:]]*IF(Table2[[#This Row],[New Engine Fuel Type:]]="ULSD",VLOOKUP(Table2[[#This Row],[New Engine Model Year:]],EFTable[],6,FALSE),VLOOKUP(Table2[[#This Row],[New Engine Fuel Type:]],EFTable[],6,FALSE)))</f>
        <v/>
      </c>
      <c r="BU218" s="190" t="str">
        <f>IF(Table2[[#This Row],[Counter Number]]="","",Table2[[#This Row],[Old Bus CO Emissions (tons/yr)]]-Table2[[#This Row],[New Bus CO Emissions (tons/yr)]])</f>
        <v/>
      </c>
      <c r="BV218" s="188" t="str">
        <f>IF(Table2[[#This Row],[Counter Number]]="","",Table2[[#This Row],[Reduction Bus CO Emissions (tons/yr)]]/Table2[[#This Row],[Old Bus CO Emissions (tons/yr)]])</f>
        <v/>
      </c>
      <c r="BW218" s="193" t="str">
        <f>IF(Table2[[#This Row],[Counter Number]]="","",Table2[[#This Row],[Reduction Bus CO Emissions (tons/yr)]]*Table2[[#This Row],[Remaining Life:]])</f>
        <v/>
      </c>
      <c r="BX218" s="194" t="str">
        <f>IF(Table2[[#This Row],[Counter Number]]="","",IF(Table2[[#This Row],[Lifetime CO Reduction (tons)]]=0,"NA",Table2[[#This Row],[Upgrade Cost Per Unit]]/Table2[[#This Row],[Lifetime CO Reduction (tons)]]))</f>
        <v/>
      </c>
      <c r="BY218" s="180" t="str">
        <f>IF(Table2[[#This Row],[Counter Number]]="","",Table2[[#This Row],[Old ULSD Used (gal):]]*VLOOKUP(Table2[[#This Row],[Engine Model Year:]],EF!$A$2:$G$27,7,FALSE))</f>
        <v/>
      </c>
      <c r="BZ21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8" s="195" t="str">
        <f>IF(Table2[[#This Row],[Counter Number]]="","",Table2[[#This Row],[Old Bus CO2 Emissions (tons/yr)]]-Table2[[#This Row],[New Bus CO2 Emissions (tons/yr)]])</f>
        <v/>
      </c>
      <c r="CB218" s="188" t="str">
        <f>IF(Table2[[#This Row],[Counter Number]]="","",Table2[[#This Row],[Reduction Bus CO2 Emissions (tons/yr)]]/Table2[[#This Row],[Old Bus CO2 Emissions (tons/yr)]])</f>
        <v/>
      </c>
      <c r="CC218" s="195" t="str">
        <f>IF(Table2[[#This Row],[Counter Number]]="","",Table2[[#This Row],[Reduction Bus CO2 Emissions (tons/yr)]]*Table2[[#This Row],[Remaining Life:]])</f>
        <v/>
      </c>
      <c r="CD218" s="194" t="str">
        <f>IF(Table2[[#This Row],[Counter Number]]="","",IF(Table2[[#This Row],[Lifetime CO2 Reduction (tons)]]=0,"NA",Table2[[#This Row],[Upgrade Cost Per Unit]]/Table2[[#This Row],[Lifetime CO2 Reduction (tons)]]))</f>
        <v/>
      </c>
      <c r="CE218" s="182" t="str">
        <f>IF(Table2[[#This Row],[Counter Number]]="","",IF(Table2[[#This Row],[New ULSD Used (gal):]]="",Table2[[#This Row],[Old ULSD Used (gal):]],Table2[[#This Row],[Old ULSD Used (gal):]]-Table2[[#This Row],[New ULSD Used (gal):]]))</f>
        <v/>
      </c>
      <c r="CF218" s="196" t="str">
        <f>IF(Table2[[#This Row],[Counter Number]]="","",Table2[[#This Row],[Diesel Fuel Reduction (gal/yr)]]/Table2[[#This Row],[Old ULSD Used (gal):]])</f>
        <v/>
      </c>
      <c r="CG218" s="197" t="str">
        <f>IF(Table2[[#This Row],[Counter Number]]="","",Table2[[#This Row],[Diesel Fuel Reduction (gal/yr)]]*Table2[[#This Row],[Remaining Life:]])</f>
        <v/>
      </c>
    </row>
    <row r="219" spans="1:85">
      <c r="A219" s="184" t="str">
        <f>IF(A194&lt;Application!$D$24,A194+1,"")</f>
        <v/>
      </c>
      <c r="B219" s="60" t="str">
        <f>IF(Table2[[#This Row],[Counter Number]]="","",Application!$D$16)</f>
        <v/>
      </c>
      <c r="C219" s="60" t="str">
        <f>IF(Table2[[#This Row],[Counter Number]]="","",Application!$D$14)</f>
        <v/>
      </c>
      <c r="D219" s="60" t="str">
        <f>IF(Table2[[#This Row],[Counter Number]]="","",Table1[[#This Row],[Old Bus Number]])</f>
        <v/>
      </c>
      <c r="E219" s="60" t="str">
        <f>IF(Table2[[#This Row],[Counter Number]]="","",Application!$D$15)</f>
        <v/>
      </c>
      <c r="F219" s="60" t="str">
        <f>IF(Table2[[#This Row],[Counter Number]]="","","On Highway")</f>
        <v/>
      </c>
      <c r="G219" s="60" t="str">
        <f>IF(Table2[[#This Row],[Counter Number]]="","",I219)</f>
        <v/>
      </c>
      <c r="H219" s="60" t="str">
        <f>IF(Table2[[#This Row],[Counter Number]]="","","Georgia")</f>
        <v/>
      </c>
      <c r="I219" s="60" t="str">
        <f>IF(Table2[[#This Row],[Counter Number]]="","",Application!$D$16)</f>
        <v/>
      </c>
      <c r="J219" s="60" t="str">
        <f>IF(Table2[[#This Row],[Counter Number]]="","",Application!$D$21)</f>
        <v/>
      </c>
      <c r="K219" s="60" t="str">
        <f>IF(Table2[[#This Row],[Counter Number]]="","",Application!$J$21)</f>
        <v/>
      </c>
      <c r="L219" s="60" t="str">
        <f>IF(Table2[[#This Row],[Counter Number]]="","","School Bus")</f>
        <v/>
      </c>
      <c r="M219" s="60" t="str">
        <f>IF(Table2[[#This Row],[Counter Number]]="","","School Bus")</f>
        <v/>
      </c>
      <c r="N219" s="60" t="str">
        <f>IF(Table2[[#This Row],[Counter Number]]="","",1)</f>
        <v/>
      </c>
      <c r="O219" s="60" t="str">
        <f>IF(Table2[[#This Row],[Counter Number]]="","",Table1[[#This Row],[Vehicle Identification Number(s):]])</f>
        <v/>
      </c>
      <c r="P219" s="60" t="str">
        <f>IF(Table2[[#This Row],[Counter Number]]="","",Table1[[#This Row],[Old Bus Manufacturer:]])</f>
        <v/>
      </c>
      <c r="Q219" s="60" t="str">
        <f>IF(Table2[[#This Row],[Counter Number]]="","",Table1[[#This Row],[Vehicle Model:]])</f>
        <v/>
      </c>
      <c r="R219" s="165" t="str">
        <f>IF(Table2[[#This Row],[Counter Number]]="","",Table1[[#This Row],[Vehicle Model Year:]])</f>
        <v/>
      </c>
      <c r="S219" s="60" t="str">
        <f>IF(Table2[[#This Row],[Counter Number]]="","",Table1[[#This Row],[Engine Serial Number(s):]])</f>
        <v/>
      </c>
      <c r="T219" s="60" t="str">
        <f>IF(Table2[[#This Row],[Counter Number]]="","",Table1[[#This Row],[Engine Make:]])</f>
        <v/>
      </c>
      <c r="U219" s="60" t="str">
        <f>IF(Table2[[#This Row],[Counter Number]]="","",Table1[[#This Row],[Engine Model:]])</f>
        <v/>
      </c>
      <c r="V219" s="165" t="str">
        <f>IF(Table2[[#This Row],[Counter Number]]="","",Table1[[#This Row],[Engine Model Year:]])</f>
        <v/>
      </c>
      <c r="W219" s="60" t="str">
        <f>IF(Table2[[#This Row],[Counter Number]]="","","NA")</f>
        <v/>
      </c>
      <c r="X219" s="165" t="str">
        <f>IF(Table2[[#This Row],[Counter Number]]="","",Table1[[#This Row],[Engine Horsepower (HP):]])</f>
        <v/>
      </c>
      <c r="Y219" s="165" t="str">
        <f>IF(Table2[[#This Row],[Counter Number]]="","",Table1[[#This Row],[Engine Cylinder Displacement (L):]]&amp;" L")</f>
        <v/>
      </c>
      <c r="Z219" s="165" t="str">
        <f>IF(Table2[[#This Row],[Counter Number]]="","",Table1[[#This Row],[Engine Number of Cylinders:]])</f>
        <v/>
      </c>
      <c r="AA219" s="166" t="str">
        <f>IF(Table2[[#This Row],[Counter Number]]="","",Table1[[#This Row],[Engine Family Name:]])</f>
        <v/>
      </c>
      <c r="AB219" s="60" t="str">
        <f>IF(Table2[[#This Row],[Counter Number]]="","","ULSD")</f>
        <v/>
      </c>
      <c r="AC219" s="167" t="str">
        <f>IF(Table2[[#This Row],[Counter Number]]="","",Table2[[#This Row],[Annual Miles Traveled:]]/Table1[[#This Row],[Old Fuel (mpg)]])</f>
        <v/>
      </c>
      <c r="AD219" s="60" t="str">
        <f>IF(Table2[[#This Row],[Counter Number]]="","","NA")</f>
        <v/>
      </c>
      <c r="AE219" s="168" t="str">
        <f>IF(Table2[[#This Row],[Counter Number]]="","",Table1[[#This Row],[Annual Miles Traveled]])</f>
        <v/>
      </c>
      <c r="AF219" s="169" t="str">
        <f>IF(Table2[[#This Row],[Counter Number]]="","",Table1[[#This Row],[Annual Idling Hours:]])</f>
        <v/>
      </c>
      <c r="AG219" s="60" t="str">
        <f>IF(Table2[[#This Row],[Counter Number]]="","","NA")</f>
        <v/>
      </c>
      <c r="AH219" s="165" t="str">
        <f>IF(Table2[[#This Row],[Counter Number]]="","",IF(Application!$J$25="Set Policy",Table1[[#This Row],[Remaining Life (years)         Set Policy]],Table1[[#This Row],[Remaining Life (years)               Case-by-Case]]))</f>
        <v/>
      </c>
      <c r="AI219" s="165" t="str">
        <f>IF(Table2[[#This Row],[Counter Number]]="","",IF(Application!$J$25="Case-by-Case","NA",Table2[[#This Row],[Fiscal Year of EPA Funds Used:]]+Table2[[#This Row],[Remaining Life:]]))</f>
        <v/>
      </c>
      <c r="AJ219" s="165"/>
      <c r="AK219" s="170" t="str">
        <f>IF(Table2[[#This Row],[Counter Number]]="","",Application!$D$14+1)</f>
        <v/>
      </c>
      <c r="AL219" s="60" t="str">
        <f>IF(Table2[[#This Row],[Counter Number]]="","","Vehicle Replacement")</f>
        <v/>
      </c>
      <c r="AM21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9" s="171" t="str">
        <f>IF(Table2[[#This Row],[Counter Number]]="","",Table1[[#This Row],[Cost of New Bus:]])</f>
        <v/>
      </c>
      <c r="AO219" s="60" t="str">
        <f>IF(Table2[[#This Row],[Counter Number]]="","","NA")</f>
        <v/>
      </c>
      <c r="AP219" s="165" t="str">
        <f>IF(Table2[[#This Row],[Counter Number]]="","",Table1[[#This Row],[New Engine Model Year:]])</f>
        <v/>
      </c>
      <c r="AQ219" s="60" t="str">
        <f>IF(Table2[[#This Row],[Counter Number]]="","","NA")</f>
        <v/>
      </c>
      <c r="AR219" s="165" t="str">
        <f>IF(Table2[[#This Row],[Counter Number]]="","",Table1[[#This Row],[New Engine Horsepower (HP):]])</f>
        <v/>
      </c>
      <c r="AS219" s="60" t="str">
        <f>IF(Table2[[#This Row],[Counter Number]]="","","NA")</f>
        <v/>
      </c>
      <c r="AT219" s="165" t="str">
        <f>IF(Table2[[#This Row],[Counter Number]]="","",Table1[[#This Row],[New Engine Cylinder Displacement (L):]]&amp;" L")</f>
        <v/>
      </c>
      <c r="AU219" s="114" t="str">
        <f>IF(Table2[[#This Row],[Counter Number]]="","",Table1[[#This Row],[New Engine Number of Cylinders:]])</f>
        <v/>
      </c>
      <c r="AV219" s="60" t="str">
        <f>IF(Table2[[#This Row],[Counter Number]]="","",Table1[[#This Row],[New Engine Family Name:]])</f>
        <v/>
      </c>
      <c r="AW21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9" s="60" t="str">
        <f>IF(Table2[[#This Row],[Counter Number]]="","","NA")</f>
        <v/>
      </c>
      <c r="AY219" s="172" t="str">
        <f>IF(Table2[[#This Row],[Counter Number]]="","",IF(Table2[[#This Row],[New Engine Fuel Type:]]="ULSD",Table1[[#This Row],[Annual Miles Traveled]]/Table1[[#This Row],[New Fuel (mpg) if Diesel]],""))</f>
        <v/>
      </c>
      <c r="AZ219" s="60"/>
      <c r="BA219" s="173" t="str">
        <f>IF(Table2[[#This Row],[Counter Number]]="","",Table2[[#This Row],[Annual Miles Traveled:]]*VLOOKUP(Table2[[#This Row],[Engine Model Year:]],EFTable[],3,FALSE))</f>
        <v/>
      </c>
      <c r="BB219" s="173" t="str">
        <f>IF(Table2[[#This Row],[Counter Number]]="","",Table2[[#This Row],[Annual Miles Traveled:]]*IF(Table2[[#This Row],[New Engine Fuel Type:]]="ULSD",VLOOKUP(Table2[[#This Row],[New Engine Model Year:]],EFTable[],3,FALSE),VLOOKUP(Table2[[#This Row],[New Engine Fuel Type:]],EFTable[],3,FALSE)))</f>
        <v/>
      </c>
      <c r="BC219" s="187" t="str">
        <f>IF(Table2[[#This Row],[Counter Number]]="","",Table2[[#This Row],[Old Bus NOx Emissions (tons/yr)]]-Table2[[#This Row],[New Bus NOx Emissions (tons/yr)]])</f>
        <v/>
      </c>
      <c r="BD219" s="188" t="str">
        <f>IF(Table2[[#This Row],[Counter Number]]="","",Table2[[#This Row],[Reduction Bus NOx Emissions (tons/yr)]]/Table2[[#This Row],[Old Bus NOx Emissions (tons/yr)]])</f>
        <v/>
      </c>
      <c r="BE219" s="175" t="str">
        <f>IF(Table2[[#This Row],[Counter Number]]="","",Table2[[#This Row],[Reduction Bus NOx Emissions (tons/yr)]]*Table2[[#This Row],[Remaining Life:]])</f>
        <v/>
      </c>
      <c r="BF219" s="189" t="str">
        <f>IF(Table2[[#This Row],[Counter Number]]="","",IF(Table2[[#This Row],[Lifetime NOx Reduction (tons)]]=0,"NA",Table2[[#This Row],[Upgrade Cost Per Unit]]/Table2[[#This Row],[Lifetime NOx Reduction (tons)]]))</f>
        <v/>
      </c>
      <c r="BG219" s="190" t="str">
        <f>IF(Table2[[#This Row],[Counter Number]]="","",Table2[[#This Row],[Annual Miles Traveled:]]*VLOOKUP(Table2[[#This Row],[Engine Model Year:]],EF!$A$2:$G$27,4,FALSE))</f>
        <v/>
      </c>
      <c r="BH219" s="173" t="str">
        <f>IF(Table2[[#This Row],[Counter Number]]="","",Table2[[#This Row],[Annual Miles Traveled:]]*IF(Table2[[#This Row],[New Engine Fuel Type:]]="ULSD",VLOOKUP(Table2[[#This Row],[New Engine Model Year:]],EFTable[],4,FALSE),VLOOKUP(Table2[[#This Row],[New Engine Fuel Type:]],EFTable[],4,FALSE)))</f>
        <v/>
      </c>
      <c r="BI219" s="191" t="str">
        <f>IF(Table2[[#This Row],[Counter Number]]="","",Table2[[#This Row],[Old Bus PM2.5 Emissions (tons/yr)]]-Table2[[#This Row],[New Bus PM2.5 Emissions (tons/yr)]])</f>
        <v/>
      </c>
      <c r="BJ219" s="192" t="str">
        <f>IF(Table2[[#This Row],[Counter Number]]="","",Table2[[#This Row],[Reduction Bus PM2.5 Emissions (tons/yr)]]/Table2[[#This Row],[Old Bus PM2.5 Emissions (tons/yr)]])</f>
        <v/>
      </c>
      <c r="BK219" s="193" t="str">
        <f>IF(Table2[[#This Row],[Counter Number]]="","",Table2[[#This Row],[Reduction Bus PM2.5 Emissions (tons/yr)]]*Table2[[#This Row],[Remaining Life:]])</f>
        <v/>
      </c>
      <c r="BL219" s="194" t="str">
        <f>IF(Table2[[#This Row],[Counter Number]]="","",IF(Table2[[#This Row],[Lifetime PM2.5 Reduction (tons)]]=0,"NA",Table2[[#This Row],[Upgrade Cost Per Unit]]/Table2[[#This Row],[Lifetime PM2.5 Reduction (tons)]]))</f>
        <v/>
      </c>
      <c r="BM219" s="179" t="str">
        <f>IF(Table2[[#This Row],[Counter Number]]="","",Table2[[#This Row],[Annual Miles Traveled:]]*VLOOKUP(Table2[[#This Row],[Engine Model Year:]],EF!$A$2:$G$40,5,FALSE))</f>
        <v/>
      </c>
      <c r="BN219" s="173" t="str">
        <f>IF(Table2[[#This Row],[Counter Number]]="","",Table2[[#This Row],[Annual Miles Traveled:]]*IF(Table2[[#This Row],[New Engine Fuel Type:]]="ULSD",VLOOKUP(Table2[[#This Row],[New Engine Model Year:]],EFTable[],5,FALSE),VLOOKUP(Table2[[#This Row],[New Engine Fuel Type:]],EFTable[],5,FALSE)))</f>
        <v/>
      </c>
      <c r="BO219" s="190" t="str">
        <f>IF(Table2[[#This Row],[Counter Number]]="","",Table2[[#This Row],[Old Bus HC Emissions (tons/yr)]]-Table2[[#This Row],[New Bus HC Emissions (tons/yr)]])</f>
        <v/>
      </c>
      <c r="BP219" s="188" t="str">
        <f>IF(Table2[[#This Row],[Counter Number]]="","",Table2[[#This Row],[Reduction Bus HC Emissions (tons/yr)]]/Table2[[#This Row],[Old Bus HC Emissions (tons/yr)]])</f>
        <v/>
      </c>
      <c r="BQ219" s="193" t="str">
        <f>IF(Table2[[#This Row],[Counter Number]]="","",Table2[[#This Row],[Reduction Bus HC Emissions (tons/yr)]]*Table2[[#This Row],[Remaining Life:]])</f>
        <v/>
      </c>
      <c r="BR219" s="194" t="str">
        <f>IF(Table2[[#This Row],[Counter Number]]="","",IF(Table2[[#This Row],[Lifetime HC Reduction (tons)]]=0,"NA",Table2[[#This Row],[Upgrade Cost Per Unit]]/Table2[[#This Row],[Lifetime HC Reduction (tons)]]))</f>
        <v/>
      </c>
      <c r="BS219" s="191" t="str">
        <f>IF(Table2[[#This Row],[Counter Number]]="","",Table2[[#This Row],[Annual Miles Traveled:]]*VLOOKUP(Table2[[#This Row],[Engine Model Year:]],EF!$A$2:$G$27,6,FALSE))</f>
        <v/>
      </c>
      <c r="BT219" s="173" t="str">
        <f>IF(Table2[[#This Row],[Counter Number]]="","",Table2[[#This Row],[Annual Miles Traveled:]]*IF(Table2[[#This Row],[New Engine Fuel Type:]]="ULSD",VLOOKUP(Table2[[#This Row],[New Engine Model Year:]],EFTable[],6,FALSE),VLOOKUP(Table2[[#This Row],[New Engine Fuel Type:]],EFTable[],6,FALSE)))</f>
        <v/>
      </c>
      <c r="BU219" s="190" t="str">
        <f>IF(Table2[[#This Row],[Counter Number]]="","",Table2[[#This Row],[Old Bus CO Emissions (tons/yr)]]-Table2[[#This Row],[New Bus CO Emissions (tons/yr)]])</f>
        <v/>
      </c>
      <c r="BV219" s="188" t="str">
        <f>IF(Table2[[#This Row],[Counter Number]]="","",Table2[[#This Row],[Reduction Bus CO Emissions (tons/yr)]]/Table2[[#This Row],[Old Bus CO Emissions (tons/yr)]])</f>
        <v/>
      </c>
      <c r="BW219" s="193" t="str">
        <f>IF(Table2[[#This Row],[Counter Number]]="","",Table2[[#This Row],[Reduction Bus CO Emissions (tons/yr)]]*Table2[[#This Row],[Remaining Life:]])</f>
        <v/>
      </c>
      <c r="BX219" s="194" t="str">
        <f>IF(Table2[[#This Row],[Counter Number]]="","",IF(Table2[[#This Row],[Lifetime CO Reduction (tons)]]=0,"NA",Table2[[#This Row],[Upgrade Cost Per Unit]]/Table2[[#This Row],[Lifetime CO Reduction (tons)]]))</f>
        <v/>
      </c>
      <c r="BY219" s="180" t="str">
        <f>IF(Table2[[#This Row],[Counter Number]]="","",Table2[[#This Row],[Old ULSD Used (gal):]]*VLOOKUP(Table2[[#This Row],[Engine Model Year:]],EF!$A$2:$G$27,7,FALSE))</f>
        <v/>
      </c>
      <c r="BZ21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9" s="195" t="str">
        <f>IF(Table2[[#This Row],[Counter Number]]="","",Table2[[#This Row],[Old Bus CO2 Emissions (tons/yr)]]-Table2[[#This Row],[New Bus CO2 Emissions (tons/yr)]])</f>
        <v/>
      </c>
      <c r="CB219" s="188" t="str">
        <f>IF(Table2[[#This Row],[Counter Number]]="","",Table2[[#This Row],[Reduction Bus CO2 Emissions (tons/yr)]]/Table2[[#This Row],[Old Bus CO2 Emissions (tons/yr)]])</f>
        <v/>
      </c>
      <c r="CC219" s="195" t="str">
        <f>IF(Table2[[#This Row],[Counter Number]]="","",Table2[[#This Row],[Reduction Bus CO2 Emissions (tons/yr)]]*Table2[[#This Row],[Remaining Life:]])</f>
        <v/>
      </c>
      <c r="CD219" s="194" t="str">
        <f>IF(Table2[[#This Row],[Counter Number]]="","",IF(Table2[[#This Row],[Lifetime CO2 Reduction (tons)]]=0,"NA",Table2[[#This Row],[Upgrade Cost Per Unit]]/Table2[[#This Row],[Lifetime CO2 Reduction (tons)]]))</f>
        <v/>
      </c>
      <c r="CE219" s="182" t="str">
        <f>IF(Table2[[#This Row],[Counter Number]]="","",IF(Table2[[#This Row],[New ULSD Used (gal):]]="",Table2[[#This Row],[Old ULSD Used (gal):]],Table2[[#This Row],[Old ULSD Used (gal):]]-Table2[[#This Row],[New ULSD Used (gal):]]))</f>
        <v/>
      </c>
      <c r="CF219" s="196" t="str">
        <f>IF(Table2[[#This Row],[Counter Number]]="","",Table2[[#This Row],[Diesel Fuel Reduction (gal/yr)]]/Table2[[#This Row],[Old ULSD Used (gal):]])</f>
        <v/>
      </c>
      <c r="CG219" s="197" t="str">
        <f>IF(Table2[[#This Row],[Counter Number]]="","",Table2[[#This Row],[Diesel Fuel Reduction (gal/yr)]]*Table2[[#This Row],[Remaining Life:]])</f>
        <v/>
      </c>
    </row>
    <row r="220" spans="1:85">
      <c r="A220" s="184" t="str">
        <f>IF(A195&lt;Application!$D$24,A195+1,"")</f>
        <v/>
      </c>
      <c r="B220" s="60" t="str">
        <f>IF(Table2[[#This Row],[Counter Number]]="","",Application!$D$16)</f>
        <v/>
      </c>
      <c r="C220" s="60" t="str">
        <f>IF(Table2[[#This Row],[Counter Number]]="","",Application!$D$14)</f>
        <v/>
      </c>
      <c r="D220" s="60" t="str">
        <f>IF(Table2[[#This Row],[Counter Number]]="","",Table1[[#This Row],[Old Bus Number]])</f>
        <v/>
      </c>
      <c r="E220" s="60" t="str">
        <f>IF(Table2[[#This Row],[Counter Number]]="","",Application!$D$15)</f>
        <v/>
      </c>
      <c r="F220" s="60" t="str">
        <f>IF(Table2[[#This Row],[Counter Number]]="","","On Highway")</f>
        <v/>
      </c>
      <c r="G220" s="60" t="str">
        <f>IF(Table2[[#This Row],[Counter Number]]="","",I220)</f>
        <v/>
      </c>
      <c r="H220" s="60" t="str">
        <f>IF(Table2[[#This Row],[Counter Number]]="","","Georgia")</f>
        <v/>
      </c>
      <c r="I220" s="60" t="str">
        <f>IF(Table2[[#This Row],[Counter Number]]="","",Application!$D$16)</f>
        <v/>
      </c>
      <c r="J220" s="60" t="str">
        <f>IF(Table2[[#This Row],[Counter Number]]="","",Application!$D$21)</f>
        <v/>
      </c>
      <c r="K220" s="60" t="str">
        <f>IF(Table2[[#This Row],[Counter Number]]="","",Application!$J$21)</f>
        <v/>
      </c>
      <c r="L220" s="60" t="str">
        <f>IF(Table2[[#This Row],[Counter Number]]="","","School Bus")</f>
        <v/>
      </c>
      <c r="M220" s="60" t="str">
        <f>IF(Table2[[#This Row],[Counter Number]]="","","School Bus")</f>
        <v/>
      </c>
      <c r="N220" s="60" t="str">
        <f>IF(Table2[[#This Row],[Counter Number]]="","",1)</f>
        <v/>
      </c>
      <c r="O220" s="60" t="str">
        <f>IF(Table2[[#This Row],[Counter Number]]="","",Table1[[#This Row],[Vehicle Identification Number(s):]])</f>
        <v/>
      </c>
      <c r="P220" s="60" t="str">
        <f>IF(Table2[[#This Row],[Counter Number]]="","",Table1[[#This Row],[Old Bus Manufacturer:]])</f>
        <v/>
      </c>
      <c r="Q220" s="60" t="str">
        <f>IF(Table2[[#This Row],[Counter Number]]="","",Table1[[#This Row],[Vehicle Model:]])</f>
        <v/>
      </c>
      <c r="R220" s="165" t="str">
        <f>IF(Table2[[#This Row],[Counter Number]]="","",Table1[[#This Row],[Vehicle Model Year:]])</f>
        <v/>
      </c>
      <c r="S220" s="60" t="str">
        <f>IF(Table2[[#This Row],[Counter Number]]="","",Table1[[#This Row],[Engine Serial Number(s):]])</f>
        <v/>
      </c>
      <c r="T220" s="60" t="str">
        <f>IF(Table2[[#This Row],[Counter Number]]="","",Table1[[#This Row],[Engine Make:]])</f>
        <v/>
      </c>
      <c r="U220" s="60" t="str">
        <f>IF(Table2[[#This Row],[Counter Number]]="","",Table1[[#This Row],[Engine Model:]])</f>
        <v/>
      </c>
      <c r="V220" s="165" t="str">
        <f>IF(Table2[[#This Row],[Counter Number]]="","",Table1[[#This Row],[Engine Model Year:]])</f>
        <v/>
      </c>
      <c r="W220" s="60" t="str">
        <f>IF(Table2[[#This Row],[Counter Number]]="","","NA")</f>
        <v/>
      </c>
      <c r="X220" s="165" t="str">
        <f>IF(Table2[[#This Row],[Counter Number]]="","",Table1[[#This Row],[Engine Horsepower (HP):]])</f>
        <v/>
      </c>
      <c r="Y220" s="165" t="str">
        <f>IF(Table2[[#This Row],[Counter Number]]="","",Table1[[#This Row],[Engine Cylinder Displacement (L):]]&amp;" L")</f>
        <v/>
      </c>
      <c r="Z220" s="165" t="str">
        <f>IF(Table2[[#This Row],[Counter Number]]="","",Table1[[#This Row],[Engine Number of Cylinders:]])</f>
        <v/>
      </c>
      <c r="AA220" s="166" t="str">
        <f>IF(Table2[[#This Row],[Counter Number]]="","",Table1[[#This Row],[Engine Family Name:]])</f>
        <v/>
      </c>
      <c r="AB220" s="60" t="str">
        <f>IF(Table2[[#This Row],[Counter Number]]="","","ULSD")</f>
        <v/>
      </c>
      <c r="AC220" s="167" t="str">
        <f>IF(Table2[[#This Row],[Counter Number]]="","",Table2[[#This Row],[Annual Miles Traveled:]]/Table1[[#This Row],[Old Fuel (mpg)]])</f>
        <v/>
      </c>
      <c r="AD220" s="60" t="str">
        <f>IF(Table2[[#This Row],[Counter Number]]="","","NA")</f>
        <v/>
      </c>
      <c r="AE220" s="168" t="str">
        <f>IF(Table2[[#This Row],[Counter Number]]="","",Table1[[#This Row],[Annual Miles Traveled]])</f>
        <v/>
      </c>
      <c r="AF220" s="169" t="str">
        <f>IF(Table2[[#This Row],[Counter Number]]="","",Table1[[#This Row],[Annual Idling Hours:]])</f>
        <v/>
      </c>
      <c r="AG220" s="60" t="str">
        <f>IF(Table2[[#This Row],[Counter Number]]="","","NA")</f>
        <v/>
      </c>
      <c r="AH220" s="165" t="str">
        <f>IF(Table2[[#This Row],[Counter Number]]="","",IF(Application!$J$25="Set Policy",Table1[[#This Row],[Remaining Life (years)         Set Policy]],Table1[[#This Row],[Remaining Life (years)               Case-by-Case]]))</f>
        <v/>
      </c>
      <c r="AI220" s="165" t="str">
        <f>IF(Table2[[#This Row],[Counter Number]]="","",IF(Application!$J$25="Case-by-Case","NA",Table2[[#This Row],[Fiscal Year of EPA Funds Used:]]+Table2[[#This Row],[Remaining Life:]]))</f>
        <v/>
      </c>
      <c r="AJ220" s="165"/>
      <c r="AK220" s="170" t="str">
        <f>IF(Table2[[#This Row],[Counter Number]]="","",Application!$D$14+1)</f>
        <v/>
      </c>
      <c r="AL220" s="60" t="str">
        <f>IF(Table2[[#This Row],[Counter Number]]="","","Vehicle Replacement")</f>
        <v/>
      </c>
      <c r="AM22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0" s="171" t="str">
        <f>IF(Table2[[#This Row],[Counter Number]]="","",Table1[[#This Row],[Cost of New Bus:]])</f>
        <v/>
      </c>
      <c r="AO220" s="60" t="str">
        <f>IF(Table2[[#This Row],[Counter Number]]="","","NA")</f>
        <v/>
      </c>
      <c r="AP220" s="165" t="str">
        <f>IF(Table2[[#This Row],[Counter Number]]="","",Table1[[#This Row],[New Engine Model Year:]])</f>
        <v/>
      </c>
      <c r="AQ220" s="60" t="str">
        <f>IF(Table2[[#This Row],[Counter Number]]="","","NA")</f>
        <v/>
      </c>
      <c r="AR220" s="165" t="str">
        <f>IF(Table2[[#This Row],[Counter Number]]="","",Table1[[#This Row],[New Engine Horsepower (HP):]])</f>
        <v/>
      </c>
      <c r="AS220" s="60" t="str">
        <f>IF(Table2[[#This Row],[Counter Number]]="","","NA")</f>
        <v/>
      </c>
      <c r="AT220" s="165" t="str">
        <f>IF(Table2[[#This Row],[Counter Number]]="","",Table1[[#This Row],[New Engine Cylinder Displacement (L):]]&amp;" L")</f>
        <v/>
      </c>
      <c r="AU220" s="114" t="str">
        <f>IF(Table2[[#This Row],[Counter Number]]="","",Table1[[#This Row],[New Engine Number of Cylinders:]])</f>
        <v/>
      </c>
      <c r="AV220" s="60" t="str">
        <f>IF(Table2[[#This Row],[Counter Number]]="","",Table1[[#This Row],[New Engine Family Name:]])</f>
        <v/>
      </c>
      <c r="AW22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0" s="60" t="str">
        <f>IF(Table2[[#This Row],[Counter Number]]="","","NA")</f>
        <v/>
      </c>
      <c r="AY220" s="172" t="str">
        <f>IF(Table2[[#This Row],[Counter Number]]="","",IF(Table2[[#This Row],[New Engine Fuel Type:]]="ULSD",Table1[[#This Row],[Annual Miles Traveled]]/Table1[[#This Row],[New Fuel (mpg) if Diesel]],""))</f>
        <v/>
      </c>
      <c r="AZ220" s="60"/>
      <c r="BA220" s="173" t="str">
        <f>IF(Table2[[#This Row],[Counter Number]]="","",Table2[[#This Row],[Annual Miles Traveled:]]*VLOOKUP(Table2[[#This Row],[Engine Model Year:]],EFTable[],3,FALSE))</f>
        <v/>
      </c>
      <c r="BB220" s="173" t="str">
        <f>IF(Table2[[#This Row],[Counter Number]]="","",Table2[[#This Row],[Annual Miles Traveled:]]*IF(Table2[[#This Row],[New Engine Fuel Type:]]="ULSD",VLOOKUP(Table2[[#This Row],[New Engine Model Year:]],EFTable[],3,FALSE),VLOOKUP(Table2[[#This Row],[New Engine Fuel Type:]],EFTable[],3,FALSE)))</f>
        <v/>
      </c>
      <c r="BC220" s="187" t="str">
        <f>IF(Table2[[#This Row],[Counter Number]]="","",Table2[[#This Row],[Old Bus NOx Emissions (tons/yr)]]-Table2[[#This Row],[New Bus NOx Emissions (tons/yr)]])</f>
        <v/>
      </c>
      <c r="BD220" s="188" t="str">
        <f>IF(Table2[[#This Row],[Counter Number]]="","",Table2[[#This Row],[Reduction Bus NOx Emissions (tons/yr)]]/Table2[[#This Row],[Old Bus NOx Emissions (tons/yr)]])</f>
        <v/>
      </c>
      <c r="BE220" s="175" t="str">
        <f>IF(Table2[[#This Row],[Counter Number]]="","",Table2[[#This Row],[Reduction Bus NOx Emissions (tons/yr)]]*Table2[[#This Row],[Remaining Life:]])</f>
        <v/>
      </c>
      <c r="BF220" s="189" t="str">
        <f>IF(Table2[[#This Row],[Counter Number]]="","",IF(Table2[[#This Row],[Lifetime NOx Reduction (tons)]]=0,"NA",Table2[[#This Row],[Upgrade Cost Per Unit]]/Table2[[#This Row],[Lifetime NOx Reduction (tons)]]))</f>
        <v/>
      </c>
      <c r="BG220" s="190" t="str">
        <f>IF(Table2[[#This Row],[Counter Number]]="","",Table2[[#This Row],[Annual Miles Traveled:]]*VLOOKUP(Table2[[#This Row],[Engine Model Year:]],EF!$A$2:$G$27,4,FALSE))</f>
        <v/>
      </c>
      <c r="BH220" s="173" t="str">
        <f>IF(Table2[[#This Row],[Counter Number]]="","",Table2[[#This Row],[Annual Miles Traveled:]]*IF(Table2[[#This Row],[New Engine Fuel Type:]]="ULSD",VLOOKUP(Table2[[#This Row],[New Engine Model Year:]],EFTable[],4,FALSE),VLOOKUP(Table2[[#This Row],[New Engine Fuel Type:]],EFTable[],4,FALSE)))</f>
        <v/>
      </c>
      <c r="BI220" s="191" t="str">
        <f>IF(Table2[[#This Row],[Counter Number]]="","",Table2[[#This Row],[Old Bus PM2.5 Emissions (tons/yr)]]-Table2[[#This Row],[New Bus PM2.5 Emissions (tons/yr)]])</f>
        <v/>
      </c>
      <c r="BJ220" s="192" t="str">
        <f>IF(Table2[[#This Row],[Counter Number]]="","",Table2[[#This Row],[Reduction Bus PM2.5 Emissions (tons/yr)]]/Table2[[#This Row],[Old Bus PM2.5 Emissions (tons/yr)]])</f>
        <v/>
      </c>
      <c r="BK220" s="193" t="str">
        <f>IF(Table2[[#This Row],[Counter Number]]="","",Table2[[#This Row],[Reduction Bus PM2.5 Emissions (tons/yr)]]*Table2[[#This Row],[Remaining Life:]])</f>
        <v/>
      </c>
      <c r="BL220" s="194" t="str">
        <f>IF(Table2[[#This Row],[Counter Number]]="","",IF(Table2[[#This Row],[Lifetime PM2.5 Reduction (tons)]]=0,"NA",Table2[[#This Row],[Upgrade Cost Per Unit]]/Table2[[#This Row],[Lifetime PM2.5 Reduction (tons)]]))</f>
        <v/>
      </c>
      <c r="BM220" s="179" t="str">
        <f>IF(Table2[[#This Row],[Counter Number]]="","",Table2[[#This Row],[Annual Miles Traveled:]]*VLOOKUP(Table2[[#This Row],[Engine Model Year:]],EF!$A$2:$G$40,5,FALSE))</f>
        <v/>
      </c>
      <c r="BN220" s="173" t="str">
        <f>IF(Table2[[#This Row],[Counter Number]]="","",Table2[[#This Row],[Annual Miles Traveled:]]*IF(Table2[[#This Row],[New Engine Fuel Type:]]="ULSD",VLOOKUP(Table2[[#This Row],[New Engine Model Year:]],EFTable[],5,FALSE),VLOOKUP(Table2[[#This Row],[New Engine Fuel Type:]],EFTable[],5,FALSE)))</f>
        <v/>
      </c>
      <c r="BO220" s="190" t="str">
        <f>IF(Table2[[#This Row],[Counter Number]]="","",Table2[[#This Row],[Old Bus HC Emissions (tons/yr)]]-Table2[[#This Row],[New Bus HC Emissions (tons/yr)]])</f>
        <v/>
      </c>
      <c r="BP220" s="188" t="str">
        <f>IF(Table2[[#This Row],[Counter Number]]="","",Table2[[#This Row],[Reduction Bus HC Emissions (tons/yr)]]/Table2[[#This Row],[Old Bus HC Emissions (tons/yr)]])</f>
        <v/>
      </c>
      <c r="BQ220" s="193" t="str">
        <f>IF(Table2[[#This Row],[Counter Number]]="","",Table2[[#This Row],[Reduction Bus HC Emissions (tons/yr)]]*Table2[[#This Row],[Remaining Life:]])</f>
        <v/>
      </c>
      <c r="BR220" s="194" t="str">
        <f>IF(Table2[[#This Row],[Counter Number]]="","",IF(Table2[[#This Row],[Lifetime HC Reduction (tons)]]=0,"NA",Table2[[#This Row],[Upgrade Cost Per Unit]]/Table2[[#This Row],[Lifetime HC Reduction (tons)]]))</f>
        <v/>
      </c>
      <c r="BS220" s="191" t="str">
        <f>IF(Table2[[#This Row],[Counter Number]]="","",Table2[[#This Row],[Annual Miles Traveled:]]*VLOOKUP(Table2[[#This Row],[Engine Model Year:]],EF!$A$2:$G$27,6,FALSE))</f>
        <v/>
      </c>
      <c r="BT220" s="173" t="str">
        <f>IF(Table2[[#This Row],[Counter Number]]="","",Table2[[#This Row],[Annual Miles Traveled:]]*IF(Table2[[#This Row],[New Engine Fuel Type:]]="ULSD",VLOOKUP(Table2[[#This Row],[New Engine Model Year:]],EFTable[],6,FALSE),VLOOKUP(Table2[[#This Row],[New Engine Fuel Type:]],EFTable[],6,FALSE)))</f>
        <v/>
      </c>
      <c r="BU220" s="190" t="str">
        <f>IF(Table2[[#This Row],[Counter Number]]="","",Table2[[#This Row],[Old Bus CO Emissions (tons/yr)]]-Table2[[#This Row],[New Bus CO Emissions (tons/yr)]])</f>
        <v/>
      </c>
      <c r="BV220" s="188" t="str">
        <f>IF(Table2[[#This Row],[Counter Number]]="","",Table2[[#This Row],[Reduction Bus CO Emissions (tons/yr)]]/Table2[[#This Row],[Old Bus CO Emissions (tons/yr)]])</f>
        <v/>
      </c>
      <c r="BW220" s="193" t="str">
        <f>IF(Table2[[#This Row],[Counter Number]]="","",Table2[[#This Row],[Reduction Bus CO Emissions (tons/yr)]]*Table2[[#This Row],[Remaining Life:]])</f>
        <v/>
      </c>
      <c r="BX220" s="194" t="str">
        <f>IF(Table2[[#This Row],[Counter Number]]="","",IF(Table2[[#This Row],[Lifetime CO Reduction (tons)]]=0,"NA",Table2[[#This Row],[Upgrade Cost Per Unit]]/Table2[[#This Row],[Lifetime CO Reduction (tons)]]))</f>
        <v/>
      </c>
      <c r="BY220" s="180" t="str">
        <f>IF(Table2[[#This Row],[Counter Number]]="","",Table2[[#This Row],[Old ULSD Used (gal):]]*VLOOKUP(Table2[[#This Row],[Engine Model Year:]],EF!$A$2:$G$27,7,FALSE))</f>
        <v/>
      </c>
      <c r="BZ22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0" s="195" t="str">
        <f>IF(Table2[[#This Row],[Counter Number]]="","",Table2[[#This Row],[Old Bus CO2 Emissions (tons/yr)]]-Table2[[#This Row],[New Bus CO2 Emissions (tons/yr)]])</f>
        <v/>
      </c>
      <c r="CB220" s="188" t="str">
        <f>IF(Table2[[#This Row],[Counter Number]]="","",Table2[[#This Row],[Reduction Bus CO2 Emissions (tons/yr)]]/Table2[[#This Row],[Old Bus CO2 Emissions (tons/yr)]])</f>
        <v/>
      </c>
      <c r="CC220" s="195" t="str">
        <f>IF(Table2[[#This Row],[Counter Number]]="","",Table2[[#This Row],[Reduction Bus CO2 Emissions (tons/yr)]]*Table2[[#This Row],[Remaining Life:]])</f>
        <v/>
      </c>
      <c r="CD220" s="194" t="str">
        <f>IF(Table2[[#This Row],[Counter Number]]="","",IF(Table2[[#This Row],[Lifetime CO2 Reduction (tons)]]=0,"NA",Table2[[#This Row],[Upgrade Cost Per Unit]]/Table2[[#This Row],[Lifetime CO2 Reduction (tons)]]))</f>
        <v/>
      </c>
      <c r="CE220" s="182" t="str">
        <f>IF(Table2[[#This Row],[Counter Number]]="","",IF(Table2[[#This Row],[New ULSD Used (gal):]]="",Table2[[#This Row],[Old ULSD Used (gal):]],Table2[[#This Row],[Old ULSD Used (gal):]]-Table2[[#This Row],[New ULSD Used (gal):]]))</f>
        <v/>
      </c>
      <c r="CF220" s="196" t="str">
        <f>IF(Table2[[#This Row],[Counter Number]]="","",Table2[[#This Row],[Diesel Fuel Reduction (gal/yr)]]/Table2[[#This Row],[Old ULSD Used (gal):]])</f>
        <v/>
      </c>
      <c r="CG220" s="197" t="str">
        <f>IF(Table2[[#This Row],[Counter Number]]="","",Table2[[#This Row],[Diesel Fuel Reduction (gal/yr)]]*Table2[[#This Row],[Remaining Life:]])</f>
        <v/>
      </c>
    </row>
    <row r="221" spans="1:85">
      <c r="A221" s="184" t="str">
        <f>IF(A196&lt;Application!$D$24,A196+1,"")</f>
        <v/>
      </c>
      <c r="B221" s="60" t="str">
        <f>IF(Table2[[#This Row],[Counter Number]]="","",Application!$D$16)</f>
        <v/>
      </c>
      <c r="C221" s="60" t="str">
        <f>IF(Table2[[#This Row],[Counter Number]]="","",Application!$D$14)</f>
        <v/>
      </c>
      <c r="D221" s="60" t="str">
        <f>IF(Table2[[#This Row],[Counter Number]]="","",Table1[[#This Row],[Old Bus Number]])</f>
        <v/>
      </c>
      <c r="E221" s="60" t="str">
        <f>IF(Table2[[#This Row],[Counter Number]]="","",Application!$D$15)</f>
        <v/>
      </c>
      <c r="F221" s="60" t="str">
        <f>IF(Table2[[#This Row],[Counter Number]]="","","On Highway")</f>
        <v/>
      </c>
      <c r="G221" s="60" t="str">
        <f>IF(Table2[[#This Row],[Counter Number]]="","",I221)</f>
        <v/>
      </c>
      <c r="H221" s="60" t="str">
        <f>IF(Table2[[#This Row],[Counter Number]]="","","Georgia")</f>
        <v/>
      </c>
      <c r="I221" s="60" t="str">
        <f>IF(Table2[[#This Row],[Counter Number]]="","",Application!$D$16)</f>
        <v/>
      </c>
      <c r="J221" s="60" t="str">
        <f>IF(Table2[[#This Row],[Counter Number]]="","",Application!$D$21)</f>
        <v/>
      </c>
      <c r="K221" s="60" t="str">
        <f>IF(Table2[[#This Row],[Counter Number]]="","",Application!$J$21)</f>
        <v/>
      </c>
      <c r="L221" s="60" t="str">
        <f>IF(Table2[[#This Row],[Counter Number]]="","","School Bus")</f>
        <v/>
      </c>
      <c r="M221" s="60" t="str">
        <f>IF(Table2[[#This Row],[Counter Number]]="","","School Bus")</f>
        <v/>
      </c>
      <c r="N221" s="60" t="str">
        <f>IF(Table2[[#This Row],[Counter Number]]="","",1)</f>
        <v/>
      </c>
      <c r="O221" s="60" t="str">
        <f>IF(Table2[[#This Row],[Counter Number]]="","",Table1[[#This Row],[Vehicle Identification Number(s):]])</f>
        <v/>
      </c>
      <c r="P221" s="60" t="str">
        <f>IF(Table2[[#This Row],[Counter Number]]="","",Table1[[#This Row],[Old Bus Manufacturer:]])</f>
        <v/>
      </c>
      <c r="Q221" s="60" t="str">
        <f>IF(Table2[[#This Row],[Counter Number]]="","",Table1[[#This Row],[Vehicle Model:]])</f>
        <v/>
      </c>
      <c r="R221" s="165" t="str">
        <f>IF(Table2[[#This Row],[Counter Number]]="","",Table1[[#This Row],[Vehicle Model Year:]])</f>
        <v/>
      </c>
      <c r="S221" s="60" t="str">
        <f>IF(Table2[[#This Row],[Counter Number]]="","",Table1[[#This Row],[Engine Serial Number(s):]])</f>
        <v/>
      </c>
      <c r="T221" s="60" t="str">
        <f>IF(Table2[[#This Row],[Counter Number]]="","",Table1[[#This Row],[Engine Make:]])</f>
        <v/>
      </c>
      <c r="U221" s="60" t="str">
        <f>IF(Table2[[#This Row],[Counter Number]]="","",Table1[[#This Row],[Engine Model:]])</f>
        <v/>
      </c>
      <c r="V221" s="165" t="str">
        <f>IF(Table2[[#This Row],[Counter Number]]="","",Table1[[#This Row],[Engine Model Year:]])</f>
        <v/>
      </c>
      <c r="W221" s="60" t="str">
        <f>IF(Table2[[#This Row],[Counter Number]]="","","NA")</f>
        <v/>
      </c>
      <c r="X221" s="165" t="str">
        <f>IF(Table2[[#This Row],[Counter Number]]="","",Table1[[#This Row],[Engine Horsepower (HP):]])</f>
        <v/>
      </c>
      <c r="Y221" s="165" t="str">
        <f>IF(Table2[[#This Row],[Counter Number]]="","",Table1[[#This Row],[Engine Cylinder Displacement (L):]]&amp;" L")</f>
        <v/>
      </c>
      <c r="Z221" s="165" t="str">
        <f>IF(Table2[[#This Row],[Counter Number]]="","",Table1[[#This Row],[Engine Number of Cylinders:]])</f>
        <v/>
      </c>
      <c r="AA221" s="166" t="str">
        <f>IF(Table2[[#This Row],[Counter Number]]="","",Table1[[#This Row],[Engine Family Name:]])</f>
        <v/>
      </c>
      <c r="AB221" s="60" t="str">
        <f>IF(Table2[[#This Row],[Counter Number]]="","","ULSD")</f>
        <v/>
      </c>
      <c r="AC221" s="167" t="str">
        <f>IF(Table2[[#This Row],[Counter Number]]="","",Table2[[#This Row],[Annual Miles Traveled:]]/Table1[[#This Row],[Old Fuel (mpg)]])</f>
        <v/>
      </c>
      <c r="AD221" s="60" t="str">
        <f>IF(Table2[[#This Row],[Counter Number]]="","","NA")</f>
        <v/>
      </c>
      <c r="AE221" s="168" t="str">
        <f>IF(Table2[[#This Row],[Counter Number]]="","",Table1[[#This Row],[Annual Miles Traveled]])</f>
        <v/>
      </c>
      <c r="AF221" s="169" t="str">
        <f>IF(Table2[[#This Row],[Counter Number]]="","",Table1[[#This Row],[Annual Idling Hours:]])</f>
        <v/>
      </c>
      <c r="AG221" s="60" t="str">
        <f>IF(Table2[[#This Row],[Counter Number]]="","","NA")</f>
        <v/>
      </c>
      <c r="AH221" s="165" t="str">
        <f>IF(Table2[[#This Row],[Counter Number]]="","",IF(Application!$J$25="Set Policy",Table1[[#This Row],[Remaining Life (years)         Set Policy]],Table1[[#This Row],[Remaining Life (years)               Case-by-Case]]))</f>
        <v/>
      </c>
      <c r="AI221" s="165" t="str">
        <f>IF(Table2[[#This Row],[Counter Number]]="","",IF(Application!$J$25="Case-by-Case","NA",Table2[[#This Row],[Fiscal Year of EPA Funds Used:]]+Table2[[#This Row],[Remaining Life:]]))</f>
        <v/>
      </c>
      <c r="AJ221" s="165"/>
      <c r="AK221" s="170" t="str">
        <f>IF(Table2[[#This Row],[Counter Number]]="","",Application!$D$14+1)</f>
        <v/>
      </c>
      <c r="AL221" s="60" t="str">
        <f>IF(Table2[[#This Row],[Counter Number]]="","","Vehicle Replacement")</f>
        <v/>
      </c>
      <c r="AM22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1" s="171" t="str">
        <f>IF(Table2[[#This Row],[Counter Number]]="","",Table1[[#This Row],[Cost of New Bus:]])</f>
        <v/>
      </c>
      <c r="AO221" s="60" t="str">
        <f>IF(Table2[[#This Row],[Counter Number]]="","","NA")</f>
        <v/>
      </c>
      <c r="AP221" s="165" t="str">
        <f>IF(Table2[[#This Row],[Counter Number]]="","",Table1[[#This Row],[New Engine Model Year:]])</f>
        <v/>
      </c>
      <c r="AQ221" s="60" t="str">
        <f>IF(Table2[[#This Row],[Counter Number]]="","","NA")</f>
        <v/>
      </c>
      <c r="AR221" s="165" t="str">
        <f>IF(Table2[[#This Row],[Counter Number]]="","",Table1[[#This Row],[New Engine Horsepower (HP):]])</f>
        <v/>
      </c>
      <c r="AS221" s="60" t="str">
        <f>IF(Table2[[#This Row],[Counter Number]]="","","NA")</f>
        <v/>
      </c>
      <c r="AT221" s="165" t="str">
        <f>IF(Table2[[#This Row],[Counter Number]]="","",Table1[[#This Row],[New Engine Cylinder Displacement (L):]]&amp;" L")</f>
        <v/>
      </c>
      <c r="AU221" s="114" t="str">
        <f>IF(Table2[[#This Row],[Counter Number]]="","",Table1[[#This Row],[New Engine Number of Cylinders:]])</f>
        <v/>
      </c>
      <c r="AV221" s="60" t="str">
        <f>IF(Table2[[#This Row],[Counter Number]]="","",Table1[[#This Row],[New Engine Family Name:]])</f>
        <v/>
      </c>
      <c r="AW22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1" s="60" t="str">
        <f>IF(Table2[[#This Row],[Counter Number]]="","","NA")</f>
        <v/>
      </c>
      <c r="AY221" s="172" t="str">
        <f>IF(Table2[[#This Row],[Counter Number]]="","",IF(Table2[[#This Row],[New Engine Fuel Type:]]="ULSD",Table1[[#This Row],[Annual Miles Traveled]]/Table1[[#This Row],[New Fuel (mpg) if Diesel]],""))</f>
        <v/>
      </c>
      <c r="AZ221" s="60"/>
      <c r="BA221" s="173" t="str">
        <f>IF(Table2[[#This Row],[Counter Number]]="","",Table2[[#This Row],[Annual Miles Traveled:]]*VLOOKUP(Table2[[#This Row],[Engine Model Year:]],EFTable[],3,FALSE))</f>
        <v/>
      </c>
      <c r="BB221" s="173" t="str">
        <f>IF(Table2[[#This Row],[Counter Number]]="","",Table2[[#This Row],[Annual Miles Traveled:]]*IF(Table2[[#This Row],[New Engine Fuel Type:]]="ULSD",VLOOKUP(Table2[[#This Row],[New Engine Model Year:]],EFTable[],3,FALSE),VLOOKUP(Table2[[#This Row],[New Engine Fuel Type:]],EFTable[],3,FALSE)))</f>
        <v/>
      </c>
      <c r="BC221" s="187" t="str">
        <f>IF(Table2[[#This Row],[Counter Number]]="","",Table2[[#This Row],[Old Bus NOx Emissions (tons/yr)]]-Table2[[#This Row],[New Bus NOx Emissions (tons/yr)]])</f>
        <v/>
      </c>
      <c r="BD221" s="188" t="str">
        <f>IF(Table2[[#This Row],[Counter Number]]="","",Table2[[#This Row],[Reduction Bus NOx Emissions (tons/yr)]]/Table2[[#This Row],[Old Bus NOx Emissions (tons/yr)]])</f>
        <v/>
      </c>
      <c r="BE221" s="175" t="str">
        <f>IF(Table2[[#This Row],[Counter Number]]="","",Table2[[#This Row],[Reduction Bus NOx Emissions (tons/yr)]]*Table2[[#This Row],[Remaining Life:]])</f>
        <v/>
      </c>
      <c r="BF221" s="189" t="str">
        <f>IF(Table2[[#This Row],[Counter Number]]="","",IF(Table2[[#This Row],[Lifetime NOx Reduction (tons)]]=0,"NA",Table2[[#This Row],[Upgrade Cost Per Unit]]/Table2[[#This Row],[Lifetime NOx Reduction (tons)]]))</f>
        <v/>
      </c>
      <c r="BG221" s="190" t="str">
        <f>IF(Table2[[#This Row],[Counter Number]]="","",Table2[[#This Row],[Annual Miles Traveled:]]*VLOOKUP(Table2[[#This Row],[Engine Model Year:]],EF!$A$2:$G$27,4,FALSE))</f>
        <v/>
      </c>
      <c r="BH221" s="173" t="str">
        <f>IF(Table2[[#This Row],[Counter Number]]="","",Table2[[#This Row],[Annual Miles Traveled:]]*IF(Table2[[#This Row],[New Engine Fuel Type:]]="ULSD",VLOOKUP(Table2[[#This Row],[New Engine Model Year:]],EFTable[],4,FALSE),VLOOKUP(Table2[[#This Row],[New Engine Fuel Type:]],EFTable[],4,FALSE)))</f>
        <v/>
      </c>
      <c r="BI221" s="191" t="str">
        <f>IF(Table2[[#This Row],[Counter Number]]="","",Table2[[#This Row],[Old Bus PM2.5 Emissions (tons/yr)]]-Table2[[#This Row],[New Bus PM2.5 Emissions (tons/yr)]])</f>
        <v/>
      </c>
      <c r="BJ221" s="192" t="str">
        <f>IF(Table2[[#This Row],[Counter Number]]="","",Table2[[#This Row],[Reduction Bus PM2.5 Emissions (tons/yr)]]/Table2[[#This Row],[Old Bus PM2.5 Emissions (tons/yr)]])</f>
        <v/>
      </c>
      <c r="BK221" s="193" t="str">
        <f>IF(Table2[[#This Row],[Counter Number]]="","",Table2[[#This Row],[Reduction Bus PM2.5 Emissions (tons/yr)]]*Table2[[#This Row],[Remaining Life:]])</f>
        <v/>
      </c>
      <c r="BL221" s="194" t="str">
        <f>IF(Table2[[#This Row],[Counter Number]]="","",IF(Table2[[#This Row],[Lifetime PM2.5 Reduction (tons)]]=0,"NA",Table2[[#This Row],[Upgrade Cost Per Unit]]/Table2[[#This Row],[Lifetime PM2.5 Reduction (tons)]]))</f>
        <v/>
      </c>
      <c r="BM221" s="179" t="str">
        <f>IF(Table2[[#This Row],[Counter Number]]="","",Table2[[#This Row],[Annual Miles Traveled:]]*VLOOKUP(Table2[[#This Row],[Engine Model Year:]],EF!$A$2:$G$40,5,FALSE))</f>
        <v/>
      </c>
      <c r="BN221" s="173" t="str">
        <f>IF(Table2[[#This Row],[Counter Number]]="","",Table2[[#This Row],[Annual Miles Traveled:]]*IF(Table2[[#This Row],[New Engine Fuel Type:]]="ULSD",VLOOKUP(Table2[[#This Row],[New Engine Model Year:]],EFTable[],5,FALSE),VLOOKUP(Table2[[#This Row],[New Engine Fuel Type:]],EFTable[],5,FALSE)))</f>
        <v/>
      </c>
      <c r="BO221" s="190" t="str">
        <f>IF(Table2[[#This Row],[Counter Number]]="","",Table2[[#This Row],[Old Bus HC Emissions (tons/yr)]]-Table2[[#This Row],[New Bus HC Emissions (tons/yr)]])</f>
        <v/>
      </c>
      <c r="BP221" s="188" t="str">
        <f>IF(Table2[[#This Row],[Counter Number]]="","",Table2[[#This Row],[Reduction Bus HC Emissions (tons/yr)]]/Table2[[#This Row],[Old Bus HC Emissions (tons/yr)]])</f>
        <v/>
      </c>
      <c r="BQ221" s="193" t="str">
        <f>IF(Table2[[#This Row],[Counter Number]]="","",Table2[[#This Row],[Reduction Bus HC Emissions (tons/yr)]]*Table2[[#This Row],[Remaining Life:]])</f>
        <v/>
      </c>
      <c r="BR221" s="194" t="str">
        <f>IF(Table2[[#This Row],[Counter Number]]="","",IF(Table2[[#This Row],[Lifetime HC Reduction (tons)]]=0,"NA",Table2[[#This Row],[Upgrade Cost Per Unit]]/Table2[[#This Row],[Lifetime HC Reduction (tons)]]))</f>
        <v/>
      </c>
      <c r="BS221" s="191" t="str">
        <f>IF(Table2[[#This Row],[Counter Number]]="","",Table2[[#This Row],[Annual Miles Traveled:]]*VLOOKUP(Table2[[#This Row],[Engine Model Year:]],EF!$A$2:$G$27,6,FALSE))</f>
        <v/>
      </c>
      <c r="BT221" s="173" t="str">
        <f>IF(Table2[[#This Row],[Counter Number]]="","",Table2[[#This Row],[Annual Miles Traveled:]]*IF(Table2[[#This Row],[New Engine Fuel Type:]]="ULSD",VLOOKUP(Table2[[#This Row],[New Engine Model Year:]],EFTable[],6,FALSE),VLOOKUP(Table2[[#This Row],[New Engine Fuel Type:]],EFTable[],6,FALSE)))</f>
        <v/>
      </c>
      <c r="BU221" s="190" t="str">
        <f>IF(Table2[[#This Row],[Counter Number]]="","",Table2[[#This Row],[Old Bus CO Emissions (tons/yr)]]-Table2[[#This Row],[New Bus CO Emissions (tons/yr)]])</f>
        <v/>
      </c>
      <c r="BV221" s="188" t="str">
        <f>IF(Table2[[#This Row],[Counter Number]]="","",Table2[[#This Row],[Reduction Bus CO Emissions (tons/yr)]]/Table2[[#This Row],[Old Bus CO Emissions (tons/yr)]])</f>
        <v/>
      </c>
      <c r="BW221" s="193" t="str">
        <f>IF(Table2[[#This Row],[Counter Number]]="","",Table2[[#This Row],[Reduction Bus CO Emissions (tons/yr)]]*Table2[[#This Row],[Remaining Life:]])</f>
        <v/>
      </c>
      <c r="BX221" s="194" t="str">
        <f>IF(Table2[[#This Row],[Counter Number]]="","",IF(Table2[[#This Row],[Lifetime CO Reduction (tons)]]=0,"NA",Table2[[#This Row],[Upgrade Cost Per Unit]]/Table2[[#This Row],[Lifetime CO Reduction (tons)]]))</f>
        <v/>
      </c>
      <c r="BY221" s="180" t="str">
        <f>IF(Table2[[#This Row],[Counter Number]]="","",Table2[[#This Row],[Old ULSD Used (gal):]]*VLOOKUP(Table2[[#This Row],[Engine Model Year:]],EF!$A$2:$G$27,7,FALSE))</f>
        <v/>
      </c>
      <c r="BZ22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1" s="195" t="str">
        <f>IF(Table2[[#This Row],[Counter Number]]="","",Table2[[#This Row],[Old Bus CO2 Emissions (tons/yr)]]-Table2[[#This Row],[New Bus CO2 Emissions (tons/yr)]])</f>
        <v/>
      </c>
      <c r="CB221" s="188" t="str">
        <f>IF(Table2[[#This Row],[Counter Number]]="","",Table2[[#This Row],[Reduction Bus CO2 Emissions (tons/yr)]]/Table2[[#This Row],[Old Bus CO2 Emissions (tons/yr)]])</f>
        <v/>
      </c>
      <c r="CC221" s="195" t="str">
        <f>IF(Table2[[#This Row],[Counter Number]]="","",Table2[[#This Row],[Reduction Bus CO2 Emissions (tons/yr)]]*Table2[[#This Row],[Remaining Life:]])</f>
        <v/>
      </c>
      <c r="CD221" s="194" t="str">
        <f>IF(Table2[[#This Row],[Counter Number]]="","",IF(Table2[[#This Row],[Lifetime CO2 Reduction (tons)]]=0,"NA",Table2[[#This Row],[Upgrade Cost Per Unit]]/Table2[[#This Row],[Lifetime CO2 Reduction (tons)]]))</f>
        <v/>
      </c>
      <c r="CE221" s="182" t="str">
        <f>IF(Table2[[#This Row],[Counter Number]]="","",IF(Table2[[#This Row],[New ULSD Used (gal):]]="",Table2[[#This Row],[Old ULSD Used (gal):]],Table2[[#This Row],[Old ULSD Used (gal):]]-Table2[[#This Row],[New ULSD Used (gal):]]))</f>
        <v/>
      </c>
      <c r="CF221" s="196" t="str">
        <f>IF(Table2[[#This Row],[Counter Number]]="","",Table2[[#This Row],[Diesel Fuel Reduction (gal/yr)]]/Table2[[#This Row],[Old ULSD Used (gal):]])</f>
        <v/>
      </c>
      <c r="CG221" s="197" t="str">
        <f>IF(Table2[[#This Row],[Counter Number]]="","",Table2[[#This Row],[Diesel Fuel Reduction (gal/yr)]]*Table2[[#This Row],[Remaining Life:]])</f>
        <v/>
      </c>
    </row>
    <row r="222" spans="1:85">
      <c r="A222" s="184" t="str">
        <f>IF(A197&lt;Application!$D$24,A197+1,"")</f>
        <v/>
      </c>
      <c r="B222" s="60" t="str">
        <f>IF(Table2[[#This Row],[Counter Number]]="","",Application!$D$16)</f>
        <v/>
      </c>
      <c r="C222" s="60" t="str">
        <f>IF(Table2[[#This Row],[Counter Number]]="","",Application!$D$14)</f>
        <v/>
      </c>
      <c r="D222" s="60" t="str">
        <f>IF(Table2[[#This Row],[Counter Number]]="","",Table1[[#This Row],[Old Bus Number]])</f>
        <v/>
      </c>
      <c r="E222" s="60" t="str">
        <f>IF(Table2[[#This Row],[Counter Number]]="","",Application!$D$15)</f>
        <v/>
      </c>
      <c r="F222" s="60" t="str">
        <f>IF(Table2[[#This Row],[Counter Number]]="","","On Highway")</f>
        <v/>
      </c>
      <c r="G222" s="60" t="str">
        <f>IF(Table2[[#This Row],[Counter Number]]="","",I222)</f>
        <v/>
      </c>
      <c r="H222" s="60" t="str">
        <f>IF(Table2[[#This Row],[Counter Number]]="","","Georgia")</f>
        <v/>
      </c>
      <c r="I222" s="60" t="str">
        <f>IF(Table2[[#This Row],[Counter Number]]="","",Application!$D$16)</f>
        <v/>
      </c>
      <c r="J222" s="60" t="str">
        <f>IF(Table2[[#This Row],[Counter Number]]="","",Application!$D$21)</f>
        <v/>
      </c>
      <c r="K222" s="60" t="str">
        <f>IF(Table2[[#This Row],[Counter Number]]="","",Application!$J$21)</f>
        <v/>
      </c>
      <c r="L222" s="60" t="str">
        <f>IF(Table2[[#This Row],[Counter Number]]="","","School Bus")</f>
        <v/>
      </c>
      <c r="M222" s="60" t="str">
        <f>IF(Table2[[#This Row],[Counter Number]]="","","School Bus")</f>
        <v/>
      </c>
      <c r="N222" s="60" t="str">
        <f>IF(Table2[[#This Row],[Counter Number]]="","",1)</f>
        <v/>
      </c>
      <c r="O222" s="60" t="str">
        <f>IF(Table2[[#This Row],[Counter Number]]="","",Table1[[#This Row],[Vehicle Identification Number(s):]])</f>
        <v/>
      </c>
      <c r="P222" s="60" t="str">
        <f>IF(Table2[[#This Row],[Counter Number]]="","",Table1[[#This Row],[Old Bus Manufacturer:]])</f>
        <v/>
      </c>
      <c r="Q222" s="60" t="str">
        <f>IF(Table2[[#This Row],[Counter Number]]="","",Table1[[#This Row],[Vehicle Model:]])</f>
        <v/>
      </c>
      <c r="R222" s="165" t="str">
        <f>IF(Table2[[#This Row],[Counter Number]]="","",Table1[[#This Row],[Vehicle Model Year:]])</f>
        <v/>
      </c>
      <c r="S222" s="60" t="str">
        <f>IF(Table2[[#This Row],[Counter Number]]="","",Table1[[#This Row],[Engine Serial Number(s):]])</f>
        <v/>
      </c>
      <c r="T222" s="60" t="str">
        <f>IF(Table2[[#This Row],[Counter Number]]="","",Table1[[#This Row],[Engine Make:]])</f>
        <v/>
      </c>
      <c r="U222" s="60" t="str">
        <f>IF(Table2[[#This Row],[Counter Number]]="","",Table1[[#This Row],[Engine Model:]])</f>
        <v/>
      </c>
      <c r="V222" s="165" t="str">
        <f>IF(Table2[[#This Row],[Counter Number]]="","",Table1[[#This Row],[Engine Model Year:]])</f>
        <v/>
      </c>
      <c r="W222" s="60" t="str">
        <f>IF(Table2[[#This Row],[Counter Number]]="","","NA")</f>
        <v/>
      </c>
      <c r="X222" s="165" t="str">
        <f>IF(Table2[[#This Row],[Counter Number]]="","",Table1[[#This Row],[Engine Horsepower (HP):]])</f>
        <v/>
      </c>
      <c r="Y222" s="165" t="str">
        <f>IF(Table2[[#This Row],[Counter Number]]="","",Table1[[#This Row],[Engine Cylinder Displacement (L):]]&amp;" L")</f>
        <v/>
      </c>
      <c r="Z222" s="165" t="str">
        <f>IF(Table2[[#This Row],[Counter Number]]="","",Table1[[#This Row],[Engine Number of Cylinders:]])</f>
        <v/>
      </c>
      <c r="AA222" s="166" t="str">
        <f>IF(Table2[[#This Row],[Counter Number]]="","",Table1[[#This Row],[Engine Family Name:]])</f>
        <v/>
      </c>
      <c r="AB222" s="60" t="str">
        <f>IF(Table2[[#This Row],[Counter Number]]="","","ULSD")</f>
        <v/>
      </c>
      <c r="AC222" s="167" t="str">
        <f>IF(Table2[[#This Row],[Counter Number]]="","",Table2[[#This Row],[Annual Miles Traveled:]]/Table1[[#This Row],[Old Fuel (mpg)]])</f>
        <v/>
      </c>
      <c r="AD222" s="60" t="str">
        <f>IF(Table2[[#This Row],[Counter Number]]="","","NA")</f>
        <v/>
      </c>
      <c r="AE222" s="168" t="str">
        <f>IF(Table2[[#This Row],[Counter Number]]="","",Table1[[#This Row],[Annual Miles Traveled]])</f>
        <v/>
      </c>
      <c r="AF222" s="169" t="str">
        <f>IF(Table2[[#This Row],[Counter Number]]="","",Table1[[#This Row],[Annual Idling Hours:]])</f>
        <v/>
      </c>
      <c r="AG222" s="60" t="str">
        <f>IF(Table2[[#This Row],[Counter Number]]="","","NA")</f>
        <v/>
      </c>
      <c r="AH222" s="165" t="str">
        <f>IF(Table2[[#This Row],[Counter Number]]="","",IF(Application!$J$25="Set Policy",Table1[[#This Row],[Remaining Life (years)         Set Policy]],Table1[[#This Row],[Remaining Life (years)               Case-by-Case]]))</f>
        <v/>
      </c>
      <c r="AI222" s="165" t="str">
        <f>IF(Table2[[#This Row],[Counter Number]]="","",IF(Application!$J$25="Case-by-Case","NA",Table2[[#This Row],[Fiscal Year of EPA Funds Used:]]+Table2[[#This Row],[Remaining Life:]]))</f>
        <v/>
      </c>
      <c r="AJ222" s="165"/>
      <c r="AK222" s="170" t="str">
        <f>IF(Table2[[#This Row],[Counter Number]]="","",Application!$D$14+1)</f>
        <v/>
      </c>
      <c r="AL222" s="60" t="str">
        <f>IF(Table2[[#This Row],[Counter Number]]="","","Vehicle Replacement")</f>
        <v/>
      </c>
      <c r="AM22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2" s="171" t="str">
        <f>IF(Table2[[#This Row],[Counter Number]]="","",Table1[[#This Row],[Cost of New Bus:]])</f>
        <v/>
      </c>
      <c r="AO222" s="60" t="str">
        <f>IF(Table2[[#This Row],[Counter Number]]="","","NA")</f>
        <v/>
      </c>
      <c r="AP222" s="165" t="str">
        <f>IF(Table2[[#This Row],[Counter Number]]="","",Table1[[#This Row],[New Engine Model Year:]])</f>
        <v/>
      </c>
      <c r="AQ222" s="60" t="str">
        <f>IF(Table2[[#This Row],[Counter Number]]="","","NA")</f>
        <v/>
      </c>
      <c r="AR222" s="165" t="str">
        <f>IF(Table2[[#This Row],[Counter Number]]="","",Table1[[#This Row],[New Engine Horsepower (HP):]])</f>
        <v/>
      </c>
      <c r="AS222" s="60" t="str">
        <f>IF(Table2[[#This Row],[Counter Number]]="","","NA")</f>
        <v/>
      </c>
      <c r="AT222" s="165" t="str">
        <f>IF(Table2[[#This Row],[Counter Number]]="","",Table1[[#This Row],[New Engine Cylinder Displacement (L):]]&amp;" L")</f>
        <v/>
      </c>
      <c r="AU222" s="114" t="str">
        <f>IF(Table2[[#This Row],[Counter Number]]="","",Table1[[#This Row],[New Engine Number of Cylinders:]])</f>
        <v/>
      </c>
      <c r="AV222" s="60" t="str">
        <f>IF(Table2[[#This Row],[Counter Number]]="","",Table1[[#This Row],[New Engine Family Name:]])</f>
        <v/>
      </c>
      <c r="AW22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2" s="60" t="str">
        <f>IF(Table2[[#This Row],[Counter Number]]="","","NA")</f>
        <v/>
      </c>
      <c r="AY222" s="172" t="str">
        <f>IF(Table2[[#This Row],[Counter Number]]="","",IF(Table2[[#This Row],[New Engine Fuel Type:]]="ULSD",Table1[[#This Row],[Annual Miles Traveled]]/Table1[[#This Row],[New Fuel (mpg) if Diesel]],""))</f>
        <v/>
      </c>
      <c r="AZ222" s="60"/>
      <c r="BA222" s="173" t="str">
        <f>IF(Table2[[#This Row],[Counter Number]]="","",Table2[[#This Row],[Annual Miles Traveled:]]*VLOOKUP(Table2[[#This Row],[Engine Model Year:]],EFTable[],3,FALSE))</f>
        <v/>
      </c>
      <c r="BB222" s="173" t="str">
        <f>IF(Table2[[#This Row],[Counter Number]]="","",Table2[[#This Row],[Annual Miles Traveled:]]*IF(Table2[[#This Row],[New Engine Fuel Type:]]="ULSD",VLOOKUP(Table2[[#This Row],[New Engine Model Year:]],EFTable[],3,FALSE),VLOOKUP(Table2[[#This Row],[New Engine Fuel Type:]],EFTable[],3,FALSE)))</f>
        <v/>
      </c>
      <c r="BC222" s="187" t="str">
        <f>IF(Table2[[#This Row],[Counter Number]]="","",Table2[[#This Row],[Old Bus NOx Emissions (tons/yr)]]-Table2[[#This Row],[New Bus NOx Emissions (tons/yr)]])</f>
        <v/>
      </c>
      <c r="BD222" s="188" t="str">
        <f>IF(Table2[[#This Row],[Counter Number]]="","",Table2[[#This Row],[Reduction Bus NOx Emissions (tons/yr)]]/Table2[[#This Row],[Old Bus NOx Emissions (tons/yr)]])</f>
        <v/>
      </c>
      <c r="BE222" s="175" t="str">
        <f>IF(Table2[[#This Row],[Counter Number]]="","",Table2[[#This Row],[Reduction Bus NOx Emissions (tons/yr)]]*Table2[[#This Row],[Remaining Life:]])</f>
        <v/>
      </c>
      <c r="BF222" s="189" t="str">
        <f>IF(Table2[[#This Row],[Counter Number]]="","",IF(Table2[[#This Row],[Lifetime NOx Reduction (tons)]]=0,"NA",Table2[[#This Row],[Upgrade Cost Per Unit]]/Table2[[#This Row],[Lifetime NOx Reduction (tons)]]))</f>
        <v/>
      </c>
      <c r="BG222" s="190" t="str">
        <f>IF(Table2[[#This Row],[Counter Number]]="","",Table2[[#This Row],[Annual Miles Traveled:]]*VLOOKUP(Table2[[#This Row],[Engine Model Year:]],EF!$A$2:$G$27,4,FALSE))</f>
        <v/>
      </c>
      <c r="BH222" s="173" t="str">
        <f>IF(Table2[[#This Row],[Counter Number]]="","",Table2[[#This Row],[Annual Miles Traveled:]]*IF(Table2[[#This Row],[New Engine Fuel Type:]]="ULSD",VLOOKUP(Table2[[#This Row],[New Engine Model Year:]],EFTable[],4,FALSE),VLOOKUP(Table2[[#This Row],[New Engine Fuel Type:]],EFTable[],4,FALSE)))</f>
        <v/>
      </c>
      <c r="BI222" s="191" t="str">
        <f>IF(Table2[[#This Row],[Counter Number]]="","",Table2[[#This Row],[Old Bus PM2.5 Emissions (tons/yr)]]-Table2[[#This Row],[New Bus PM2.5 Emissions (tons/yr)]])</f>
        <v/>
      </c>
      <c r="BJ222" s="192" t="str">
        <f>IF(Table2[[#This Row],[Counter Number]]="","",Table2[[#This Row],[Reduction Bus PM2.5 Emissions (tons/yr)]]/Table2[[#This Row],[Old Bus PM2.5 Emissions (tons/yr)]])</f>
        <v/>
      </c>
      <c r="BK222" s="193" t="str">
        <f>IF(Table2[[#This Row],[Counter Number]]="","",Table2[[#This Row],[Reduction Bus PM2.5 Emissions (tons/yr)]]*Table2[[#This Row],[Remaining Life:]])</f>
        <v/>
      </c>
      <c r="BL222" s="194" t="str">
        <f>IF(Table2[[#This Row],[Counter Number]]="","",IF(Table2[[#This Row],[Lifetime PM2.5 Reduction (tons)]]=0,"NA",Table2[[#This Row],[Upgrade Cost Per Unit]]/Table2[[#This Row],[Lifetime PM2.5 Reduction (tons)]]))</f>
        <v/>
      </c>
      <c r="BM222" s="179" t="str">
        <f>IF(Table2[[#This Row],[Counter Number]]="","",Table2[[#This Row],[Annual Miles Traveled:]]*VLOOKUP(Table2[[#This Row],[Engine Model Year:]],EF!$A$2:$G$40,5,FALSE))</f>
        <v/>
      </c>
      <c r="BN222" s="173" t="str">
        <f>IF(Table2[[#This Row],[Counter Number]]="","",Table2[[#This Row],[Annual Miles Traveled:]]*IF(Table2[[#This Row],[New Engine Fuel Type:]]="ULSD",VLOOKUP(Table2[[#This Row],[New Engine Model Year:]],EFTable[],5,FALSE),VLOOKUP(Table2[[#This Row],[New Engine Fuel Type:]],EFTable[],5,FALSE)))</f>
        <v/>
      </c>
      <c r="BO222" s="190" t="str">
        <f>IF(Table2[[#This Row],[Counter Number]]="","",Table2[[#This Row],[Old Bus HC Emissions (tons/yr)]]-Table2[[#This Row],[New Bus HC Emissions (tons/yr)]])</f>
        <v/>
      </c>
      <c r="BP222" s="188" t="str">
        <f>IF(Table2[[#This Row],[Counter Number]]="","",Table2[[#This Row],[Reduction Bus HC Emissions (tons/yr)]]/Table2[[#This Row],[Old Bus HC Emissions (tons/yr)]])</f>
        <v/>
      </c>
      <c r="BQ222" s="193" t="str">
        <f>IF(Table2[[#This Row],[Counter Number]]="","",Table2[[#This Row],[Reduction Bus HC Emissions (tons/yr)]]*Table2[[#This Row],[Remaining Life:]])</f>
        <v/>
      </c>
      <c r="BR222" s="194" t="str">
        <f>IF(Table2[[#This Row],[Counter Number]]="","",IF(Table2[[#This Row],[Lifetime HC Reduction (tons)]]=0,"NA",Table2[[#This Row],[Upgrade Cost Per Unit]]/Table2[[#This Row],[Lifetime HC Reduction (tons)]]))</f>
        <v/>
      </c>
      <c r="BS222" s="191" t="str">
        <f>IF(Table2[[#This Row],[Counter Number]]="","",Table2[[#This Row],[Annual Miles Traveled:]]*VLOOKUP(Table2[[#This Row],[Engine Model Year:]],EF!$A$2:$G$27,6,FALSE))</f>
        <v/>
      </c>
      <c r="BT222" s="173" t="str">
        <f>IF(Table2[[#This Row],[Counter Number]]="","",Table2[[#This Row],[Annual Miles Traveled:]]*IF(Table2[[#This Row],[New Engine Fuel Type:]]="ULSD",VLOOKUP(Table2[[#This Row],[New Engine Model Year:]],EFTable[],6,FALSE),VLOOKUP(Table2[[#This Row],[New Engine Fuel Type:]],EFTable[],6,FALSE)))</f>
        <v/>
      </c>
      <c r="BU222" s="190" t="str">
        <f>IF(Table2[[#This Row],[Counter Number]]="","",Table2[[#This Row],[Old Bus CO Emissions (tons/yr)]]-Table2[[#This Row],[New Bus CO Emissions (tons/yr)]])</f>
        <v/>
      </c>
      <c r="BV222" s="188" t="str">
        <f>IF(Table2[[#This Row],[Counter Number]]="","",Table2[[#This Row],[Reduction Bus CO Emissions (tons/yr)]]/Table2[[#This Row],[Old Bus CO Emissions (tons/yr)]])</f>
        <v/>
      </c>
      <c r="BW222" s="193" t="str">
        <f>IF(Table2[[#This Row],[Counter Number]]="","",Table2[[#This Row],[Reduction Bus CO Emissions (tons/yr)]]*Table2[[#This Row],[Remaining Life:]])</f>
        <v/>
      </c>
      <c r="BX222" s="194" t="str">
        <f>IF(Table2[[#This Row],[Counter Number]]="","",IF(Table2[[#This Row],[Lifetime CO Reduction (tons)]]=0,"NA",Table2[[#This Row],[Upgrade Cost Per Unit]]/Table2[[#This Row],[Lifetime CO Reduction (tons)]]))</f>
        <v/>
      </c>
      <c r="BY222" s="180" t="str">
        <f>IF(Table2[[#This Row],[Counter Number]]="","",Table2[[#This Row],[Old ULSD Used (gal):]]*VLOOKUP(Table2[[#This Row],[Engine Model Year:]],EF!$A$2:$G$27,7,FALSE))</f>
        <v/>
      </c>
      <c r="BZ22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2" s="195" t="str">
        <f>IF(Table2[[#This Row],[Counter Number]]="","",Table2[[#This Row],[Old Bus CO2 Emissions (tons/yr)]]-Table2[[#This Row],[New Bus CO2 Emissions (tons/yr)]])</f>
        <v/>
      </c>
      <c r="CB222" s="188" t="str">
        <f>IF(Table2[[#This Row],[Counter Number]]="","",Table2[[#This Row],[Reduction Bus CO2 Emissions (tons/yr)]]/Table2[[#This Row],[Old Bus CO2 Emissions (tons/yr)]])</f>
        <v/>
      </c>
      <c r="CC222" s="195" t="str">
        <f>IF(Table2[[#This Row],[Counter Number]]="","",Table2[[#This Row],[Reduction Bus CO2 Emissions (tons/yr)]]*Table2[[#This Row],[Remaining Life:]])</f>
        <v/>
      </c>
      <c r="CD222" s="194" t="str">
        <f>IF(Table2[[#This Row],[Counter Number]]="","",IF(Table2[[#This Row],[Lifetime CO2 Reduction (tons)]]=0,"NA",Table2[[#This Row],[Upgrade Cost Per Unit]]/Table2[[#This Row],[Lifetime CO2 Reduction (tons)]]))</f>
        <v/>
      </c>
      <c r="CE222" s="182" t="str">
        <f>IF(Table2[[#This Row],[Counter Number]]="","",IF(Table2[[#This Row],[New ULSD Used (gal):]]="",Table2[[#This Row],[Old ULSD Used (gal):]],Table2[[#This Row],[Old ULSD Used (gal):]]-Table2[[#This Row],[New ULSD Used (gal):]]))</f>
        <v/>
      </c>
      <c r="CF222" s="196" t="str">
        <f>IF(Table2[[#This Row],[Counter Number]]="","",Table2[[#This Row],[Diesel Fuel Reduction (gal/yr)]]/Table2[[#This Row],[Old ULSD Used (gal):]])</f>
        <v/>
      </c>
      <c r="CG222" s="197" t="str">
        <f>IF(Table2[[#This Row],[Counter Number]]="","",Table2[[#This Row],[Diesel Fuel Reduction (gal/yr)]]*Table2[[#This Row],[Remaining Life:]])</f>
        <v/>
      </c>
    </row>
    <row r="223" spans="1:85">
      <c r="A223" s="184" t="str">
        <f>IF(A198&lt;Application!$D$24,A198+1,"")</f>
        <v/>
      </c>
      <c r="B223" s="60" t="str">
        <f>IF(Table2[[#This Row],[Counter Number]]="","",Application!$D$16)</f>
        <v/>
      </c>
      <c r="C223" s="60" t="str">
        <f>IF(Table2[[#This Row],[Counter Number]]="","",Application!$D$14)</f>
        <v/>
      </c>
      <c r="D223" s="60" t="str">
        <f>IF(Table2[[#This Row],[Counter Number]]="","",Table1[[#This Row],[Old Bus Number]])</f>
        <v/>
      </c>
      <c r="E223" s="60" t="str">
        <f>IF(Table2[[#This Row],[Counter Number]]="","",Application!$D$15)</f>
        <v/>
      </c>
      <c r="F223" s="60" t="str">
        <f>IF(Table2[[#This Row],[Counter Number]]="","","On Highway")</f>
        <v/>
      </c>
      <c r="G223" s="60" t="str">
        <f>IF(Table2[[#This Row],[Counter Number]]="","",I223)</f>
        <v/>
      </c>
      <c r="H223" s="60" t="str">
        <f>IF(Table2[[#This Row],[Counter Number]]="","","Georgia")</f>
        <v/>
      </c>
      <c r="I223" s="60" t="str">
        <f>IF(Table2[[#This Row],[Counter Number]]="","",Application!$D$16)</f>
        <v/>
      </c>
      <c r="J223" s="60" t="str">
        <f>IF(Table2[[#This Row],[Counter Number]]="","",Application!$D$21)</f>
        <v/>
      </c>
      <c r="K223" s="60" t="str">
        <f>IF(Table2[[#This Row],[Counter Number]]="","",Application!$J$21)</f>
        <v/>
      </c>
      <c r="L223" s="60" t="str">
        <f>IF(Table2[[#This Row],[Counter Number]]="","","School Bus")</f>
        <v/>
      </c>
      <c r="M223" s="60" t="str">
        <f>IF(Table2[[#This Row],[Counter Number]]="","","School Bus")</f>
        <v/>
      </c>
      <c r="N223" s="60" t="str">
        <f>IF(Table2[[#This Row],[Counter Number]]="","",1)</f>
        <v/>
      </c>
      <c r="O223" s="60" t="str">
        <f>IF(Table2[[#This Row],[Counter Number]]="","",Table1[[#This Row],[Vehicle Identification Number(s):]])</f>
        <v/>
      </c>
      <c r="P223" s="60" t="str">
        <f>IF(Table2[[#This Row],[Counter Number]]="","",Table1[[#This Row],[Old Bus Manufacturer:]])</f>
        <v/>
      </c>
      <c r="Q223" s="60" t="str">
        <f>IF(Table2[[#This Row],[Counter Number]]="","",Table1[[#This Row],[Vehicle Model:]])</f>
        <v/>
      </c>
      <c r="R223" s="165" t="str">
        <f>IF(Table2[[#This Row],[Counter Number]]="","",Table1[[#This Row],[Vehicle Model Year:]])</f>
        <v/>
      </c>
      <c r="S223" s="60" t="str">
        <f>IF(Table2[[#This Row],[Counter Number]]="","",Table1[[#This Row],[Engine Serial Number(s):]])</f>
        <v/>
      </c>
      <c r="T223" s="60" t="str">
        <f>IF(Table2[[#This Row],[Counter Number]]="","",Table1[[#This Row],[Engine Make:]])</f>
        <v/>
      </c>
      <c r="U223" s="60" t="str">
        <f>IF(Table2[[#This Row],[Counter Number]]="","",Table1[[#This Row],[Engine Model:]])</f>
        <v/>
      </c>
      <c r="V223" s="165" t="str">
        <f>IF(Table2[[#This Row],[Counter Number]]="","",Table1[[#This Row],[Engine Model Year:]])</f>
        <v/>
      </c>
      <c r="W223" s="60" t="str">
        <f>IF(Table2[[#This Row],[Counter Number]]="","","NA")</f>
        <v/>
      </c>
      <c r="X223" s="165" t="str">
        <f>IF(Table2[[#This Row],[Counter Number]]="","",Table1[[#This Row],[Engine Horsepower (HP):]])</f>
        <v/>
      </c>
      <c r="Y223" s="165" t="str">
        <f>IF(Table2[[#This Row],[Counter Number]]="","",Table1[[#This Row],[Engine Cylinder Displacement (L):]]&amp;" L")</f>
        <v/>
      </c>
      <c r="Z223" s="165" t="str">
        <f>IF(Table2[[#This Row],[Counter Number]]="","",Table1[[#This Row],[Engine Number of Cylinders:]])</f>
        <v/>
      </c>
      <c r="AA223" s="166" t="str">
        <f>IF(Table2[[#This Row],[Counter Number]]="","",Table1[[#This Row],[Engine Family Name:]])</f>
        <v/>
      </c>
      <c r="AB223" s="60" t="str">
        <f>IF(Table2[[#This Row],[Counter Number]]="","","ULSD")</f>
        <v/>
      </c>
      <c r="AC223" s="167" t="str">
        <f>IF(Table2[[#This Row],[Counter Number]]="","",Table2[[#This Row],[Annual Miles Traveled:]]/Table1[[#This Row],[Old Fuel (mpg)]])</f>
        <v/>
      </c>
      <c r="AD223" s="60" t="str">
        <f>IF(Table2[[#This Row],[Counter Number]]="","","NA")</f>
        <v/>
      </c>
      <c r="AE223" s="168" t="str">
        <f>IF(Table2[[#This Row],[Counter Number]]="","",Table1[[#This Row],[Annual Miles Traveled]])</f>
        <v/>
      </c>
      <c r="AF223" s="169" t="str">
        <f>IF(Table2[[#This Row],[Counter Number]]="","",Table1[[#This Row],[Annual Idling Hours:]])</f>
        <v/>
      </c>
      <c r="AG223" s="60" t="str">
        <f>IF(Table2[[#This Row],[Counter Number]]="","","NA")</f>
        <v/>
      </c>
      <c r="AH223" s="165" t="str">
        <f>IF(Table2[[#This Row],[Counter Number]]="","",IF(Application!$J$25="Set Policy",Table1[[#This Row],[Remaining Life (years)         Set Policy]],Table1[[#This Row],[Remaining Life (years)               Case-by-Case]]))</f>
        <v/>
      </c>
      <c r="AI223" s="165" t="str">
        <f>IF(Table2[[#This Row],[Counter Number]]="","",IF(Application!$J$25="Case-by-Case","NA",Table2[[#This Row],[Fiscal Year of EPA Funds Used:]]+Table2[[#This Row],[Remaining Life:]]))</f>
        <v/>
      </c>
      <c r="AJ223" s="165"/>
      <c r="AK223" s="170" t="str">
        <f>IF(Table2[[#This Row],[Counter Number]]="","",Application!$D$14+1)</f>
        <v/>
      </c>
      <c r="AL223" s="60" t="str">
        <f>IF(Table2[[#This Row],[Counter Number]]="","","Vehicle Replacement")</f>
        <v/>
      </c>
      <c r="AM22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3" s="171" t="str">
        <f>IF(Table2[[#This Row],[Counter Number]]="","",Table1[[#This Row],[Cost of New Bus:]])</f>
        <v/>
      </c>
      <c r="AO223" s="60" t="str">
        <f>IF(Table2[[#This Row],[Counter Number]]="","","NA")</f>
        <v/>
      </c>
      <c r="AP223" s="165" t="str">
        <f>IF(Table2[[#This Row],[Counter Number]]="","",Table1[[#This Row],[New Engine Model Year:]])</f>
        <v/>
      </c>
      <c r="AQ223" s="60" t="str">
        <f>IF(Table2[[#This Row],[Counter Number]]="","","NA")</f>
        <v/>
      </c>
      <c r="AR223" s="165" t="str">
        <f>IF(Table2[[#This Row],[Counter Number]]="","",Table1[[#This Row],[New Engine Horsepower (HP):]])</f>
        <v/>
      </c>
      <c r="AS223" s="60" t="str">
        <f>IF(Table2[[#This Row],[Counter Number]]="","","NA")</f>
        <v/>
      </c>
      <c r="AT223" s="165" t="str">
        <f>IF(Table2[[#This Row],[Counter Number]]="","",Table1[[#This Row],[New Engine Cylinder Displacement (L):]]&amp;" L")</f>
        <v/>
      </c>
      <c r="AU223" s="114" t="str">
        <f>IF(Table2[[#This Row],[Counter Number]]="","",Table1[[#This Row],[New Engine Number of Cylinders:]])</f>
        <v/>
      </c>
      <c r="AV223" s="60" t="str">
        <f>IF(Table2[[#This Row],[Counter Number]]="","",Table1[[#This Row],[New Engine Family Name:]])</f>
        <v/>
      </c>
      <c r="AW22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3" s="60" t="str">
        <f>IF(Table2[[#This Row],[Counter Number]]="","","NA")</f>
        <v/>
      </c>
      <c r="AY223" s="172" t="str">
        <f>IF(Table2[[#This Row],[Counter Number]]="","",IF(Table2[[#This Row],[New Engine Fuel Type:]]="ULSD",Table1[[#This Row],[Annual Miles Traveled]]/Table1[[#This Row],[New Fuel (mpg) if Diesel]],""))</f>
        <v/>
      </c>
      <c r="AZ223" s="60"/>
      <c r="BA223" s="173" t="str">
        <f>IF(Table2[[#This Row],[Counter Number]]="","",Table2[[#This Row],[Annual Miles Traveled:]]*VLOOKUP(Table2[[#This Row],[Engine Model Year:]],EFTable[],3,FALSE))</f>
        <v/>
      </c>
      <c r="BB223" s="173" t="str">
        <f>IF(Table2[[#This Row],[Counter Number]]="","",Table2[[#This Row],[Annual Miles Traveled:]]*IF(Table2[[#This Row],[New Engine Fuel Type:]]="ULSD",VLOOKUP(Table2[[#This Row],[New Engine Model Year:]],EFTable[],3,FALSE),VLOOKUP(Table2[[#This Row],[New Engine Fuel Type:]],EFTable[],3,FALSE)))</f>
        <v/>
      </c>
      <c r="BC223" s="187" t="str">
        <f>IF(Table2[[#This Row],[Counter Number]]="","",Table2[[#This Row],[Old Bus NOx Emissions (tons/yr)]]-Table2[[#This Row],[New Bus NOx Emissions (tons/yr)]])</f>
        <v/>
      </c>
      <c r="BD223" s="188" t="str">
        <f>IF(Table2[[#This Row],[Counter Number]]="","",Table2[[#This Row],[Reduction Bus NOx Emissions (tons/yr)]]/Table2[[#This Row],[Old Bus NOx Emissions (tons/yr)]])</f>
        <v/>
      </c>
      <c r="BE223" s="175" t="str">
        <f>IF(Table2[[#This Row],[Counter Number]]="","",Table2[[#This Row],[Reduction Bus NOx Emissions (tons/yr)]]*Table2[[#This Row],[Remaining Life:]])</f>
        <v/>
      </c>
      <c r="BF223" s="189" t="str">
        <f>IF(Table2[[#This Row],[Counter Number]]="","",IF(Table2[[#This Row],[Lifetime NOx Reduction (tons)]]=0,"NA",Table2[[#This Row],[Upgrade Cost Per Unit]]/Table2[[#This Row],[Lifetime NOx Reduction (tons)]]))</f>
        <v/>
      </c>
      <c r="BG223" s="190" t="str">
        <f>IF(Table2[[#This Row],[Counter Number]]="","",Table2[[#This Row],[Annual Miles Traveled:]]*VLOOKUP(Table2[[#This Row],[Engine Model Year:]],EF!$A$2:$G$27,4,FALSE))</f>
        <v/>
      </c>
      <c r="BH223" s="173" t="str">
        <f>IF(Table2[[#This Row],[Counter Number]]="","",Table2[[#This Row],[Annual Miles Traveled:]]*IF(Table2[[#This Row],[New Engine Fuel Type:]]="ULSD",VLOOKUP(Table2[[#This Row],[New Engine Model Year:]],EFTable[],4,FALSE),VLOOKUP(Table2[[#This Row],[New Engine Fuel Type:]],EFTable[],4,FALSE)))</f>
        <v/>
      </c>
      <c r="BI223" s="191" t="str">
        <f>IF(Table2[[#This Row],[Counter Number]]="","",Table2[[#This Row],[Old Bus PM2.5 Emissions (tons/yr)]]-Table2[[#This Row],[New Bus PM2.5 Emissions (tons/yr)]])</f>
        <v/>
      </c>
      <c r="BJ223" s="192" t="str">
        <f>IF(Table2[[#This Row],[Counter Number]]="","",Table2[[#This Row],[Reduction Bus PM2.5 Emissions (tons/yr)]]/Table2[[#This Row],[Old Bus PM2.5 Emissions (tons/yr)]])</f>
        <v/>
      </c>
      <c r="BK223" s="193" t="str">
        <f>IF(Table2[[#This Row],[Counter Number]]="","",Table2[[#This Row],[Reduction Bus PM2.5 Emissions (tons/yr)]]*Table2[[#This Row],[Remaining Life:]])</f>
        <v/>
      </c>
      <c r="BL223" s="194" t="str">
        <f>IF(Table2[[#This Row],[Counter Number]]="","",IF(Table2[[#This Row],[Lifetime PM2.5 Reduction (tons)]]=0,"NA",Table2[[#This Row],[Upgrade Cost Per Unit]]/Table2[[#This Row],[Lifetime PM2.5 Reduction (tons)]]))</f>
        <v/>
      </c>
      <c r="BM223" s="179" t="str">
        <f>IF(Table2[[#This Row],[Counter Number]]="","",Table2[[#This Row],[Annual Miles Traveled:]]*VLOOKUP(Table2[[#This Row],[Engine Model Year:]],EF!$A$2:$G$40,5,FALSE))</f>
        <v/>
      </c>
      <c r="BN223" s="173" t="str">
        <f>IF(Table2[[#This Row],[Counter Number]]="","",Table2[[#This Row],[Annual Miles Traveled:]]*IF(Table2[[#This Row],[New Engine Fuel Type:]]="ULSD",VLOOKUP(Table2[[#This Row],[New Engine Model Year:]],EFTable[],5,FALSE),VLOOKUP(Table2[[#This Row],[New Engine Fuel Type:]],EFTable[],5,FALSE)))</f>
        <v/>
      </c>
      <c r="BO223" s="190" t="str">
        <f>IF(Table2[[#This Row],[Counter Number]]="","",Table2[[#This Row],[Old Bus HC Emissions (tons/yr)]]-Table2[[#This Row],[New Bus HC Emissions (tons/yr)]])</f>
        <v/>
      </c>
      <c r="BP223" s="188" t="str">
        <f>IF(Table2[[#This Row],[Counter Number]]="","",Table2[[#This Row],[Reduction Bus HC Emissions (tons/yr)]]/Table2[[#This Row],[Old Bus HC Emissions (tons/yr)]])</f>
        <v/>
      </c>
      <c r="BQ223" s="193" t="str">
        <f>IF(Table2[[#This Row],[Counter Number]]="","",Table2[[#This Row],[Reduction Bus HC Emissions (tons/yr)]]*Table2[[#This Row],[Remaining Life:]])</f>
        <v/>
      </c>
      <c r="BR223" s="194" t="str">
        <f>IF(Table2[[#This Row],[Counter Number]]="","",IF(Table2[[#This Row],[Lifetime HC Reduction (tons)]]=0,"NA",Table2[[#This Row],[Upgrade Cost Per Unit]]/Table2[[#This Row],[Lifetime HC Reduction (tons)]]))</f>
        <v/>
      </c>
      <c r="BS223" s="191" t="str">
        <f>IF(Table2[[#This Row],[Counter Number]]="","",Table2[[#This Row],[Annual Miles Traveled:]]*VLOOKUP(Table2[[#This Row],[Engine Model Year:]],EF!$A$2:$G$27,6,FALSE))</f>
        <v/>
      </c>
      <c r="BT223" s="173" t="str">
        <f>IF(Table2[[#This Row],[Counter Number]]="","",Table2[[#This Row],[Annual Miles Traveled:]]*IF(Table2[[#This Row],[New Engine Fuel Type:]]="ULSD",VLOOKUP(Table2[[#This Row],[New Engine Model Year:]],EFTable[],6,FALSE),VLOOKUP(Table2[[#This Row],[New Engine Fuel Type:]],EFTable[],6,FALSE)))</f>
        <v/>
      </c>
      <c r="BU223" s="190" t="str">
        <f>IF(Table2[[#This Row],[Counter Number]]="","",Table2[[#This Row],[Old Bus CO Emissions (tons/yr)]]-Table2[[#This Row],[New Bus CO Emissions (tons/yr)]])</f>
        <v/>
      </c>
      <c r="BV223" s="188" t="str">
        <f>IF(Table2[[#This Row],[Counter Number]]="","",Table2[[#This Row],[Reduction Bus CO Emissions (tons/yr)]]/Table2[[#This Row],[Old Bus CO Emissions (tons/yr)]])</f>
        <v/>
      </c>
      <c r="BW223" s="193" t="str">
        <f>IF(Table2[[#This Row],[Counter Number]]="","",Table2[[#This Row],[Reduction Bus CO Emissions (tons/yr)]]*Table2[[#This Row],[Remaining Life:]])</f>
        <v/>
      </c>
      <c r="BX223" s="194" t="str">
        <f>IF(Table2[[#This Row],[Counter Number]]="","",IF(Table2[[#This Row],[Lifetime CO Reduction (tons)]]=0,"NA",Table2[[#This Row],[Upgrade Cost Per Unit]]/Table2[[#This Row],[Lifetime CO Reduction (tons)]]))</f>
        <v/>
      </c>
      <c r="BY223" s="180" t="str">
        <f>IF(Table2[[#This Row],[Counter Number]]="","",Table2[[#This Row],[Old ULSD Used (gal):]]*VLOOKUP(Table2[[#This Row],[Engine Model Year:]],EF!$A$2:$G$27,7,FALSE))</f>
        <v/>
      </c>
      <c r="BZ22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3" s="195" t="str">
        <f>IF(Table2[[#This Row],[Counter Number]]="","",Table2[[#This Row],[Old Bus CO2 Emissions (tons/yr)]]-Table2[[#This Row],[New Bus CO2 Emissions (tons/yr)]])</f>
        <v/>
      </c>
      <c r="CB223" s="188" t="str">
        <f>IF(Table2[[#This Row],[Counter Number]]="","",Table2[[#This Row],[Reduction Bus CO2 Emissions (tons/yr)]]/Table2[[#This Row],[Old Bus CO2 Emissions (tons/yr)]])</f>
        <v/>
      </c>
      <c r="CC223" s="195" t="str">
        <f>IF(Table2[[#This Row],[Counter Number]]="","",Table2[[#This Row],[Reduction Bus CO2 Emissions (tons/yr)]]*Table2[[#This Row],[Remaining Life:]])</f>
        <v/>
      </c>
      <c r="CD223" s="194" t="str">
        <f>IF(Table2[[#This Row],[Counter Number]]="","",IF(Table2[[#This Row],[Lifetime CO2 Reduction (tons)]]=0,"NA",Table2[[#This Row],[Upgrade Cost Per Unit]]/Table2[[#This Row],[Lifetime CO2 Reduction (tons)]]))</f>
        <v/>
      </c>
      <c r="CE223" s="182" t="str">
        <f>IF(Table2[[#This Row],[Counter Number]]="","",IF(Table2[[#This Row],[New ULSD Used (gal):]]="",Table2[[#This Row],[Old ULSD Used (gal):]],Table2[[#This Row],[Old ULSD Used (gal):]]-Table2[[#This Row],[New ULSD Used (gal):]]))</f>
        <v/>
      </c>
      <c r="CF223" s="196" t="str">
        <f>IF(Table2[[#This Row],[Counter Number]]="","",Table2[[#This Row],[Diesel Fuel Reduction (gal/yr)]]/Table2[[#This Row],[Old ULSD Used (gal):]])</f>
        <v/>
      </c>
      <c r="CG223" s="197" t="str">
        <f>IF(Table2[[#This Row],[Counter Number]]="","",Table2[[#This Row],[Diesel Fuel Reduction (gal/yr)]]*Table2[[#This Row],[Remaining Life:]])</f>
        <v/>
      </c>
    </row>
    <row r="224" spans="1:85">
      <c r="A224" s="184" t="str">
        <f>IF(A199&lt;Application!$D$24,A199+1,"")</f>
        <v/>
      </c>
      <c r="B224" s="60" t="str">
        <f>IF(Table2[[#This Row],[Counter Number]]="","",Application!$D$16)</f>
        <v/>
      </c>
      <c r="C224" s="60" t="str">
        <f>IF(Table2[[#This Row],[Counter Number]]="","",Application!$D$14)</f>
        <v/>
      </c>
      <c r="D224" s="60" t="str">
        <f>IF(Table2[[#This Row],[Counter Number]]="","",Table1[[#This Row],[Old Bus Number]])</f>
        <v/>
      </c>
      <c r="E224" s="60" t="str">
        <f>IF(Table2[[#This Row],[Counter Number]]="","",Application!$D$15)</f>
        <v/>
      </c>
      <c r="F224" s="60" t="str">
        <f>IF(Table2[[#This Row],[Counter Number]]="","","On Highway")</f>
        <v/>
      </c>
      <c r="G224" s="60" t="str">
        <f>IF(Table2[[#This Row],[Counter Number]]="","",I224)</f>
        <v/>
      </c>
      <c r="H224" s="60" t="str">
        <f>IF(Table2[[#This Row],[Counter Number]]="","","Georgia")</f>
        <v/>
      </c>
      <c r="I224" s="60" t="str">
        <f>IF(Table2[[#This Row],[Counter Number]]="","",Application!$D$16)</f>
        <v/>
      </c>
      <c r="J224" s="60" t="str">
        <f>IF(Table2[[#This Row],[Counter Number]]="","",Application!$D$21)</f>
        <v/>
      </c>
      <c r="K224" s="60" t="str">
        <f>IF(Table2[[#This Row],[Counter Number]]="","",Application!$J$21)</f>
        <v/>
      </c>
      <c r="L224" s="60" t="str">
        <f>IF(Table2[[#This Row],[Counter Number]]="","","School Bus")</f>
        <v/>
      </c>
      <c r="M224" s="60" t="str">
        <f>IF(Table2[[#This Row],[Counter Number]]="","","School Bus")</f>
        <v/>
      </c>
      <c r="N224" s="60" t="str">
        <f>IF(Table2[[#This Row],[Counter Number]]="","",1)</f>
        <v/>
      </c>
      <c r="O224" s="60" t="str">
        <f>IF(Table2[[#This Row],[Counter Number]]="","",Table1[[#This Row],[Vehicle Identification Number(s):]])</f>
        <v/>
      </c>
      <c r="P224" s="60" t="str">
        <f>IF(Table2[[#This Row],[Counter Number]]="","",Table1[[#This Row],[Old Bus Manufacturer:]])</f>
        <v/>
      </c>
      <c r="Q224" s="60" t="str">
        <f>IF(Table2[[#This Row],[Counter Number]]="","",Table1[[#This Row],[Vehicle Model:]])</f>
        <v/>
      </c>
      <c r="R224" s="165" t="str">
        <f>IF(Table2[[#This Row],[Counter Number]]="","",Table1[[#This Row],[Vehicle Model Year:]])</f>
        <v/>
      </c>
      <c r="S224" s="60" t="str">
        <f>IF(Table2[[#This Row],[Counter Number]]="","",Table1[[#This Row],[Engine Serial Number(s):]])</f>
        <v/>
      </c>
      <c r="T224" s="60" t="str">
        <f>IF(Table2[[#This Row],[Counter Number]]="","",Table1[[#This Row],[Engine Make:]])</f>
        <v/>
      </c>
      <c r="U224" s="60" t="str">
        <f>IF(Table2[[#This Row],[Counter Number]]="","",Table1[[#This Row],[Engine Model:]])</f>
        <v/>
      </c>
      <c r="V224" s="165" t="str">
        <f>IF(Table2[[#This Row],[Counter Number]]="","",Table1[[#This Row],[Engine Model Year:]])</f>
        <v/>
      </c>
      <c r="W224" s="60" t="str">
        <f>IF(Table2[[#This Row],[Counter Number]]="","","NA")</f>
        <v/>
      </c>
      <c r="X224" s="165" t="str">
        <f>IF(Table2[[#This Row],[Counter Number]]="","",Table1[[#This Row],[Engine Horsepower (HP):]])</f>
        <v/>
      </c>
      <c r="Y224" s="165" t="str">
        <f>IF(Table2[[#This Row],[Counter Number]]="","",Table1[[#This Row],[Engine Cylinder Displacement (L):]]&amp;" L")</f>
        <v/>
      </c>
      <c r="Z224" s="165" t="str">
        <f>IF(Table2[[#This Row],[Counter Number]]="","",Table1[[#This Row],[Engine Number of Cylinders:]])</f>
        <v/>
      </c>
      <c r="AA224" s="166" t="str">
        <f>IF(Table2[[#This Row],[Counter Number]]="","",Table1[[#This Row],[Engine Family Name:]])</f>
        <v/>
      </c>
      <c r="AB224" s="60" t="str">
        <f>IF(Table2[[#This Row],[Counter Number]]="","","ULSD")</f>
        <v/>
      </c>
      <c r="AC224" s="167" t="str">
        <f>IF(Table2[[#This Row],[Counter Number]]="","",Table2[[#This Row],[Annual Miles Traveled:]]/Table1[[#This Row],[Old Fuel (mpg)]])</f>
        <v/>
      </c>
      <c r="AD224" s="60" t="str">
        <f>IF(Table2[[#This Row],[Counter Number]]="","","NA")</f>
        <v/>
      </c>
      <c r="AE224" s="168" t="str">
        <f>IF(Table2[[#This Row],[Counter Number]]="","",Table1[[#This Row],[Annual Miles Traveled]])</f>
        <v/>
      </c>
      <c r="AF224" s="169" t="str">
        <f>IF(Table2[[#This Row],[Counter Number]]="","",Table1[[#This Row],[Annual Idling Hours:]])</f>
        <v/>
      </c>
      <c r="AG224" s="60" t="str">
        <f>IF(Table2[[#This Row],[Counter Number]]="","","NA")</f>
        <v/>
      </c>
      <c r="AH224" s="165" t="str">
        <f>IF(Table2[[#This Row],[Counter Number]]="","",IF(Application!$J$25="Set Policy",Table1[[#This Row],[Remaining Life (years)         Set Policy]],Table1[[#This Row],[Remaining Life (years)               Case-by-Case]]))</f>
        <v/>
      </c>
      <c r="AI224" s="165" t="str">
        <f>IF(Table2[[#This Row],[Counter Number]]="","",IF(Application!$J$25="Case-by-Case","NA",Table2[[#This Row],[Fiscal Year of EPA Funds Used:]]+Table2[[#This Row],[Remaining Life:]]))</f>
        <v/>
      </c>
      <c r="AJ224" s="165"/>
      <c r="AK224" s="170" t="str">
        <f>IF(Table2[[#This Row],[Counter Number]]="","",Application!$D$14+1)</f>
        <v/>
      </c>
      <c r="AL224" s="60" t="str">
        <f>IF(Table2[[#This Row],[Counter Number]]="","","Vehicle Replacement")</f>
        <v/>
      </c>
      <c r="AM22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4" s="171" t="str">
        <f>IF(Table2[[#This Row],[Counter Number]]="","",Table1[[#This Row],[Cost of New Bus:]])</f>
        <v/>
      </c>
      <c r="AO224" s="60" t="str">
        <f>IF(Table2[[#This Row],[Counter Number]]="","","NA")</f>
        <v/>
      </c>
      <c r="AP224" s="165" t="str">
        <f>IF(Table2[[#This Row],[Counter Number]]="","",Table1[[#This Row],[New Engine Model Year:]])</f>
        <v/>
      </c>
      <c r="AQ224" s="60" t="str">
        <f>IF(Table2[[#This Row],[Counter Number]]="","","NA")</f>
        <v/>
      </c>
      <c r="AR224" s="165" t="str">
        <f>IF(Table2[[#This Row],[Counter Number]]="","",Table1[[#This Row],[New Engine Horsepower (HP):]])</f>
        <v/>
      </c>
      <c r="AS224" s="60" t="str">
        <f>IF(Table2[[#This Row],[Counter Number]]="","","NA")</f>
        <v/>
      </c>
      <c r="AT224" s="165" t="str">
        <f>IF(Table2[[#This Row],[Counter Number]]="","",Table1[[#This Row],[New Engine Cylinder Displacement (L):]]&amp;" L")</f>
        <v/>
      </c>
      <c r="AU224" s="114" t="str">
        <f>IF(Table2[[#This Row],[Counter Number]]="","",Table1[[#This Row],[New Engine Number of Cylinders:]])</f>
        <v/>
      </c>
      <c r="AV224" s="60" t="str">
        <f>IF(Table2[[#This Row],[Counter Number]]="","",Table1[[#This Row],[New Engine Family Name:]])</f>
        <v/>
      </c>
      <c r="AW22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4" s="60" t="str">
        <f>IF(Table2[[#This Row],[Counter Number]]="","","NA")</f>
        <v/>
      </c>
      <c r="AY224" s="172" t="str">
        <f>IF(Table2[[#This Row],[Counter Number]]="","",IF(Table2[[#This Row],[New Engine Fuel Type:]]="ULSD",Table1[[#This Row],[Annual Miles Traveled]]/Table1[[#This Row],[New Fuel (mpg) if Diesel]],""))</f>
        <v/>
      </c>
      <c r="AZ224" s="60"/>
      <c r="BA224" s="173" t="str">
        <f>IF(Table2[[#This Row],[Counter Number]]="","",Table2[[#This Row],[Annual Miles Traveled:]]*VLOOKUP(Table2[[#This Row],[Engine Model Year:]],EFTable[],3,FALSE))</f>
        <v/>
      </c>
      <c r="BB224" s="173" t="str">
        <f>IF(Table2[[#This Row],[Counter Number]]="","",Table2[[#This Row],[Annual Miles Traveled:]]*IF(Table2[[#This Row],[New Engine Fuel Type:]]="ULSD",VLOOKUP(Table2[[#This Row],[New Engine Model Year:]],EFTable[],3,FALSE),VLOOKUP(Table2[[#This Row],[New Engine Fuel Type:]],EFTable[],3,FALSE)))</f>
        <v/>
      </c>
      <c r="BC224" s="187" t="str">
        <f>IF(Table2[[#This Row],[Counter Number]]="","",Table2[[#This Row],[Old Bus NOx Emissions (tons/yr)]]-Table2[[#This Row],[New Bus NOx Emissions (tons/yr)]])</f>
        <v/>
      </c>
      <c r="BD224" s="188" t="str">
        <f>IF(Table2[[#This Row],[Counter Number]]="","",Table2[[#This Row],[Reduction Bus NOx Emissions (tons/yr)]]/Table2[[#This Row],[Old Bus NOx Emissions (tons/yr)]])</f>
        <v/>
      </c>
      <c r="BE224" s="175" t="str">
        <f>IF(Table2[[#This Row],[Counter Number]]="","",Table2[[#This Row],[Reduction Bus NOx Emissions (tons/yr)]]*Table2[[#This Row],[Remaining Life:]])</f>
        <v/>
      </c>
      <c r="BF224" s="189" t="str">
        <f>IF(Table2[[#This Row],[Counter Number]]="","",IF(Table2[[#This Row],[Lifetime NOx Reduction (tons)]]=0,"NA",Table2[[#This Row],[Upgrade Cost Per Unit]]/Table2[[#This Row],[Lifetime NOx Reduction (tons)]]))</f>
        <v/>
      </c>
      <c r="BG224" s="190" t="str">
        <f>IF(Table2[[#This Row],[Counter Number]]="","",Table2[[#This Row],[Annual Miles Traveled:]]*VLOOKUP(Table2[[#This Row],[Engine Model Year:]],EF!$A$2:$G$27,4,FALSE))</f>
        <v/>
      </c>
      <c r="BH224" s="173" t="str">
        <f>IF(Table2[[#This Row],[Counter Number]]="","",Table2[[#This Row],[Annual Miles Traveled:]]*IF(Table2[[#This Row],[New Engine Fuel Type:]]="ULSD",VLOOKUP(Table2[[#This Row],[New Engine Model Year:]],EFTable[],4,FALSE),VLOOKUP(Table2[[#This Row],[New Engine Fuel Type:]],EFTable[],4,FALSE)))</f>
        <v/>
      </c>
      <c r="BI224" s="191" t="str">
        <f>IF(Table2[[#This Row],[Counter Number]]="","",Table2[[#This Row],[Old Bus PM2.5 Emissions (tons/yr)]]-Table2[[#This Row],[New Bus PM2.5 Emissions (tons/yr)]])</f>
        <v/>
      </c>
      <c r="BJ224" s="192" t="str">
        <f>IF(Table2[[#This Row],[Counter Number]]="","",Table2[[#This Row],[Reduction Bus PM2.5 Emissions (tons/yr)]]/Table2[[#This Row],[Old Bus PM2.5 Emissions (tons/yr)]])</f>
        <v/>
      </c>
      <c r="BK224" s="193" t="str">
        <f>IF(Table2[[#This Row],[Counter Number]]="","",Table2[[#This Row],[Reduction Bus PM2.5 Emissions (tons/yr)]]*Table2[[#This Row],[Remaining Life:]])</f>
        <v/>
      </c>
      <c r="BL224" s="194" t="str">
        <f>IF(Table2[[#This Row],[Counter Number]]="","",IF(Table2[[#This Row],[Lifetime PM2.5 Reduction (tons)]]=0,"NA",Table2[[#This Row],[Upgrade Cost Per Unit]]/Table2[[#This Row],[Lifetime PM2.5 Reduction (tons)]]))</f>
        <v/>
      </c>
      <c r="BM224" s="179" t="str">
        <f>IF(Table2[[#This Row],[Counter Number]]="","",Table2[[#This Row],[Annual Miles Traveled:]]*VLOOKUP(Table2[[#This Row],[Engine Model Year:]],EF!$A$2:$G$40,5,FALSE))</f>
        <v/>
      </c>
      <c r="BN224" s="173" t="str">
        <f>IF(Table2[[#This Row],[Counter Number]]="","",Table2[[#This Row],[Annual Miles Traveled:]]*IF(Table2[[#This Row],[New Engine Fuel Type:]]="ULSD",VLOOKUP(Table2[[#This Row],[New Engine Model Year:]],EFTable[],5,FALSE),VLOOKUP(Table2[[#This Row],[New Engine Fuel Type:]],EFTable[],5,FALSE)))</f>
        <v/>
      </c>
      <c r="BO224" s="190" t="str">
        <f>IF(Table2[[#This Row],[Counter Number]]="","",Table2[[#This Row],[Old Bus HC Emissions (tons/yr)]]-Table2[[#This Row],[New Bus HC Emissions (tons/yr)]])</f>
        <v/>
      </c>
      <c r="BP224" s="188" t="str">
        <f>IF(Table2[[#This Row],[Counter Number]]="","",Table2[[#This Row],[Reduction Bus HC Emissions (tons/yr)]]/Table2[[#This Row],[Old Bus HC Emissions (tons/yr)]])</f>
        <v/>
      </c>
      <c r="BQ224" s="193" t="str">
        <f>IF(Table2[[#This Row],[Counter Number]]="","",Table2[[#This Row],[Reduction Bus HC Emissions (tons/yr)]]*Table2[[#This Row],[Remaining Life:]])</f>
        <v/>
      </c>
      <c r="BR224" s="194" t="str">
        <f>IF(Table2[[#This Row],[Counter Number]]="","",IF(Table2[[#This Row],[Lifetime HC Reduction (tons)]]=0,"NA",Table2[[#This Row],[Upgrade Cost Per Unit]]/Table2[[#This Row],[Lifetime HC Reduction (tons)]]))</f>
        <v/>
      </c>
      <c r="BS224" s="191" t="str">
        <f>IF(Table2[[#This Row],[Counter Number]]="","",Table2[[#This Row],[Annual Miles Traveled:]]*VLOOKUP(Table2[[#This Row],[Engine Model Year:]],EF!$A$2:$G$27,6,FALSE))</f>
        <v/>
      </c>
      <c r="BT224" s="173" t="str">
        <f>IF(Table2[[#This Row],[Counter Number]]="","",Table2[[#This Row],[Annual Miles Traveled:]]*IF(Table2[[#This Row],[New Engine Fuel Type:]]="ULSD",VLOOKUP(Table2[[#This Row],[New Engine Model Year:]],EFTable[],6,FALSE),VLOOKUP(Table2[[#This Row],[New Engine Fuel Type:]],EFTable[],6,FALSE)))</f>
        <v/>
      </c>
      <c r="BU224" s="190" t="str">
        <f>IF(Table2[[#This Row],[Counter Number]]="","",Table2[[#This Row],[Old Bus CO Emissions (tons/yr)]]-Table2[[#This Row],[New Bus CO Emissions (tons/yr)]])</f>
        <v/>
      </c>
      <c r="BV224" s="188" t="str">
        <f>IF(Table2[[#This Row],[Counter Number]]="","",Table2[[#This Row],[Reduction Bus CO Emissions (tons/yr)]]/Table2[[#This Row],[Old Bus CO Emissions (tons/yr)]])</f>
        <v/>
      </c>
      <c r="BW224" s="193" t="str">
        <f>IF(Table2[[#This Row],[Counter Number]]="","",Table2[[#This Row],[Reduction Bus CO Emissions (tons/yr)]]*Table2[[#This Row],[Remaining Life:]])</f>
        <v/>
      </c>
      <c r="BX224" s="194" t="str">
        <f>IF(Table2[[#This Row],[Counter Number]]="","",IF(Table2[[#This Row],[Lifetime CO Reduction (tons)]]=0,"NA",Table2[[#This Row],[Upgrade Cost Per Unit]]/Table2[[#This Row],[Lifetime CO Reduction (tons)]]))</f>
        <v/>
      </c>
      <c r="BY224" s="180" t="str">
        <f>IF(Table2[[#This Row],[Counter Number]]="","",Table2[[#This Row],[Old ULSD Used (gal):]]*VLOOKUP(Table2[[#This Row],[Engine Model Year:]],EF!$A$2:$G$27,7,FALSE))</f>
        <v/>
      </c>
      <c r="BZ22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4" s="195" t="str">
        <f>IF(Table2[[#This Row],[Counter Number]]="","",Table2[[#This Row],[Old Bus CO2 Emissions (tons/yr)]]-Table2[[#This Row],[New Bus CO2 Emissions (tons/yr)]])</f>
        <v/>
      </c>
      <c r="CB224" s="188" t="str">
        <f>IF(Table2[[#This Row],[Counter Number]]="","",Table2[[#This Row],[Reduction Bus CO2 Emissions (tons/yr)]]/Table2[[#This Row],[Old Bus CO2 Emissions (tons/yr)]])</f>
        <v/>
      </c>
      <c r="CC224" s="195" t="str">
        <f>IF(Table2[[#This Row],[Counter Number]]="","",Table2[[#This Row],[Reduction Bus CO2 Emissions (tons/yr)]]*Table2[[#This Row],[Remaining Life:]])</f>
        <v/>
      </c>
      <c r="CD224" s="194" t="str">
        <f>IF(Table2[[#This Row],[Counter Number]]="","",IF(Table2[[#This Row],[Lifetime CO2 Reduction (tons)]]=0,"NA",Table2[[#This Row],[Upgrade Cost Per Unit]]/Table2[[#This Row],[Lifetime CO2 Reduction (tons)]]))</f>
        <v/>
      </c>
      <c r="CE224" s="182" t="str">
        <f>IF(Table2[[#This Row],[Counter Number]]="","",IF(Table2[[#This Row],[New ULSD Used (gal):]]="",Table2[[#This Row],[Old ULSD Used (gal):]],Table2[[#This Row],[Old ULSD Used (gal):]]-Table2[[#This Row],[New ULSD Used (gal):]]))</f>
        <v/>
      </c>
      <c r="CF224" s="196" t="str">
        <f>IF(Table2[[#This Row],[Counter Number]]="","",Table2[[#This Row],[Diesel Fuel Reduction (gal/yr)]]/Table2[[#This Row],[Old ULSD Used (gal):]])</f>
        <v/>
      </c>
      <c r="CG224" s="197" t="str">
        <f>IF(Table2[[#This Row],[Counter Number]]="","",Table2[[#This Row],[Diesel Fuel Reduction (gal/yr)]]*Table2[[#This Row],[Remaining Life:]])</f>
        <v/>
      </c>
    </row>
    <row r="225" spans="1:85">
      <c r="A225" s="184" t="str">
        <f>IF(A200&lt;Application!$D$24,A200+1,"")</f>
        <v/>
      </c>
      <c r="B225" s="60" t="str">
        <f>IF(Table2[[#This Row],[Counter Number]]="","",Application!$D$16)</f>
        <v/>
      </c>
      <c r="C225" s="60" t="str">
        <f>IF(Table2[[#This Row],[Counter Number]]="","",Application!$D$14)</f>
        <v/>
      </c>
      <c r="D225" s="60" t="str">
        <f>IF(Table2[[#This Row],[Counter Number]]="","",Table1[[#This Row],[Old Bus Number]])</f>
        <v/>
      </c>
      <c r="E225" s="60" t="str">
        <f>IF(Table2[[#This Row],[Counter Number]]="","",Application!$D$15)</f>
        <v/>
      </c>
      <c r="F225" s="60" t="str">
        <f>IF(Table2[[#This Row],[Counter Number]]="","","On Highway")</f>
        <v/>
      </c>
      <c r="G225" s="60" t="str">
        <f>IF(Table2[[#This Row],[Counter Number]]="","",I225)</f>
        <v/>
      </c>
      <c r="H225" s="60" t="str">
        <f>IF(Table2[[#This Row],[Counter Number]]="","","Georgia")</f>
        <v/>
      </c>
      <c r="I225" s="60" t="str">
        <f>IF(Table2[[#This Row],[Counter Number]]="","",Application!$D$16)</f>
        <v/>
      </c>
      <c r="J225" s="60" t="str">
        <f>IF(Table2[[#This Row],[Counter Number]]="","",Application!$D$21)</f>
        <v/>
      </c>
      <c r="K225" s="60" t="str">
        <f>IF(Table2[[#This Row],[Counter Number]]="","",Application!$J$21)</f>
        <v/>
      </c>
      <c r="L225" s="60" t="str">
        <f>IF(Table2[[#This Row],[Counter Number]]="","","School Bus")</f>
        <v/>
      </c>
      <c r="M225" s="60" t="str">
        <f>IF(Table2[[#This Row],[Counter Number]]="","","School Bus")</f>
        <v/>
      </c>
      <c r="N225" s="60" t="str">
        <f>IF(Table2[[#This Row],[Counter Number]]="","",1)</f>
        <v/>
      </c>
      <c r="O225" s="60" t="str">
        <f>IF(Table2[[#This Row],[Counter Number]]="","",Table1[[#This Row],[Vehicle Identification Number(s):]])</f>
        <v/>
      </c>
      <c r="P225" s="60" t="str">
        <f>IF(Table2[[#This Row],[Counter Number]]="","",Table1[[#This Row],[Old Bus Manufacturer:]])</f>
        <v/>
      </c>
      <c r="Q225" s="60" t="str">
        <f>IF(Table2[[#This Row],[Counter Number]]="","",Table1[[#This Row],[Vehicle Model:]])</f>
        <v/>
      </c>
      <c r="R225" s="165" t="str">
        <f>IF(Table2[[#This Row],[Counter Number]]="","",Table1[[#This Row],[Vehicle Model Year:]])</f>
        <v/>
      </c>
      <c r="S225" s="60" t="str">
        <f>IF(Table2[[#This Row],[Counter Number]]="","",Table1[[#This Row],[Engine Serial Number(s):]])</f>
        <v/>
      </c>
      <c r="T225" s="60" t="str">
        <f>IF(Table2[[#This Row],[Counter Number]]="","",Table1[[#This Row],[Engine Make:]])</f>
        <v/>
      </c>
      <c r="U225" s="60" t="str">
        <f>IF(Table2[[#This Row],[Counter Number]]="","",Table1[[#This Row],[Engine Model:]])</f>
        <v/>
      </c>
      <c r="V225" s="165" t="str">
        <f>IF(Table2[[#This Row],[Counter Number]]="","",Table1[[#This Row],[Engine Model Year:]])</f>
        <v/>
      </c>
      <c r="W225" s="60" t="str">
        <f>IF(Table2[[#This Row],[Counter Number]]="","","NA")</f>
        <v/>
      </c>
      <c r="X225" s="165" t="str">
        <f>IF(Table2[[#This Row],[Counter Number]]="","",Table1[[#This Row],[Engine Horsepower (HP):]])</f>
        <v/>
      </c>
      <c r="Y225" s="165" t="str">
        <f>IF(Table2[[#This Row],[Counter Number]]="","",Table1[[#This Row],[Engine Cylinder Displacement (L):]]&amp;" L")</f>
        <v/>
      </c>
      <c r="Z225" s="165" t="str">
        <f>IF(Table2[[#This Row],[Counter Number]]="","",Table1[[#This Row],[Engine Number of Cylinders:]])</f>
        <v/>
      </c>
      <c r="AA225" s="166" t="str">
        <f>IF(Table2[[#This Row],[Counter Number]]="","",Table1[[#This Row],[Engine Family Name:]])</f>
        <v/>
      </c>
      <c r="AB225" s="60" t="str">
        <f>IF(Table2[[#This Row],[Counter Number]]="","","ULSD")</f>
        <v/>
      </c>
      <c r="AC225" s="167" t="str">
        <f>IF(Table2[[#This Row],[Counter Number]]="","",Table2[[#This Row],[Annual Miles Traveled:]]/Table1[[#This Row],[Old Fuel (mpg)]])</f>
        <v/>
      </c>
      <c r="AD225" s="60" t="str">
        <f>IF(Table2[[#This Row],[Counter Number]]="","","NA")</f>
        <v/>
      </c>
      <c r="AE225" s="168" t="str">
        <f>IF(Table2[[#This Row],[Counter Number]]="","",Table1[[#This Row],[Annual Miles Traveled]])</f>
        <v/>
      </c>
      <c r="AF225" s="169" t="str">
        <f>IF(Table2[[#This Row],[Counter Number]]="","",Table1[[#This Row],[Annual Idling Hours:]])</f>
        <v/>
      </c>
      <c r="AG225" s="60" t="str">
        <f>IF(Table2[[#This Row],[Counter Number]]="","","NA")</f>
        <v/>
      </c>
      <c r="AH225" s="165" t="str">
        <f>IF(Table2[[#This Row],[Counter Number]]="","",IF(Application!$J$25="Set Policy",Table1[[#This Row],[Remaining Life (years)         Set Policy]],Table1[[#This Row],[Remaining Life (years)               Case-by-Case]]))</f>
        <v/>
      </c>
      <c r="AI225" s="165" t="str">
        <f>IF(Table2[[#This Row],[Counter Number]]="","",IF(Application!$J$25="Case-by-Case","NA",Table2[[#This Row],[Fiscal Year of EPA Funds Used:]]+Table2[[#This Row],[Remaining Life:]]))</f>
        <v/>
      </c>
      <c r="AJ225" s="165"/>
      <c r="AK225" s="170" t="str">
        <f>IF(Table2[[#This Row],[Counter Number]]="","",Application!$D$14+1)</f>
        <v/>
      </c>
      <c r="AL225" s="60" t="str">
        <f>IF(Table2[[#This Row],[Counter Number]]="","","Vehicle Replacement")</f>
        <v/>
      </c>
      <c r="AM22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5" s="171" t="str">
        <f>IF(Table2[[#This Row],[Counter Number]]="","",Table1[[#This Row],[Cost of New Bus:]])</f>
        <v/>
      </c>
      <c r="AO225" s="60" t="str">
        <f>IF(Table2[[#This Row],[Counter Number]]="","","NA")</f>
        <v/>
      </c>
      <c r="AP225" s="165" t="str">
        <f>IF(Table2[[#This Row],[Counter Number]]="","",Table1[[#This Row],[New Engine Model Year:]])</f>
        <v/>
      </c>
      <c r="AQ225" s="60" t="str">
        <f>IF(Table2[[#This Row],[Counter Number]]="","","NA")</f>
        <v/>
      </c>
      <c r="AR225" s="165" t="str">
        <f>IF(Table2[[#This Row],[Counter Number]]="","",Table1[[#This Row],[New Engine Horsepower (HP):]])</f>
        <v/>
      </c>
      <c r="AS225" s="60" t="str">
        <f>IF(Table2[[#This Row],[Counter Number]]="","","NA")</f>
        <v/>
      </c>
      <c r="AT225" s="165" t="str">
        <f>IF(Table2[[#This Row],[Counter Number]]="","",Table1[[#This Row],[New Engine Cylinder Displacement (L):]]&amp;" L")</f>
        <v/>
      </c>
      <c r="AU225" s="114" t="str">
        <f>IF(Table2[[#This Row],[Counter Number]]="","",Table1[[#This Row],[New Engine Number of Cylinders:]])</f>
        <v/>
      </c>
      <c r="AV225" s="60" t="str">
        <f>IF(Table2[[#This Row],[Counter Number]]="","",Table1[[#This Row],[New Engine Family Name:]])</f>
        <v/>
      </c>
      <c r="AW22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5" s="60" t="str">
        <f>IF(Table2[[#This Row],[Counter Number]]="","","NA")</f>
        <v/>
      </c>
      <c r="AY225" s="172" t="str">
        <f>IF(Table2[[#This Row],[Counter Number]]="","",IF(Table2[[#This Row],[New Engine Fuel Type:]]="ULSD",Table1[[#This Row],[Annual Miles Traveled]]/Table1[[#This Row],[New Fuel (mpg) if Diesel]],""))</f>
        <v/>
      </c>
      <c r="AZ225" s="60"/>
      <c r="BA225" s="173" t="str">
        <f>IF(Table2[[#This Row],[Counter Number]]="","",Table2[[#This Row],[Annual Miles Traveled:]]*VLOOKUP(Table2[[#This Row],[Engine Model Year:]],EFTable[],3,FALSE))</f>
        <v/>
      </c>
      <c r="BB225" s="173" t="str">
        <f>IF(Table2[[#This Row],[Counter Number]]="","",Table2[[#This Row],[Annual Miles Traveled:]]*IF(Table2[[#This Row],[New Engine Fuel Type:]]="ULSD",VLOOKUP(Table2[[#This Row],[New Engine Model Year:]],EFTable[],3,FALSE),VLOOKUP(Table2[[#This Row],[New Engine Fuel Type:]],EFTable[],3,FALSE)))</f>
        <v/>
      </c>
      <c r="BC225" s="187" t="str">
        <f>IF(Table2[[#This Row],[Counter Number]]="","",Table2[[#This Row],[Old Bus NOx Emissions (tons/yr)]]-Table2[[#This Row],[New Bus NOx Emissions (tons/yr)]])</f>
        <v/>
      </c>
      <c r="BD225" s="188" t="str">
        <f>IF(Table2[[#This Row],[Counter Number]]="","",Table2[[#This Row],[Reduction Bus NOx Emissions (tons/yr)]]/Table2[[#This Row],[Old Bus NOx Emissions (tons/yr)]])</f>
        <v/>
      </c>
      <c r="BE225" s="175" t="str">
        <f>IF(Table2[[#This Row],[Counter Number]]="","",Table2[[#This Row],[Reduction Bus NOx Emissions (tons/yr)]]*Table2[[#This Row],[Remaining Life:]])</f>
        <v/>
      </c>
      <c r="BF225" s="189" t="str">
        <f>IF(Table2[[#This Row],[Counter Number]]="","",IF(Table2[[#This Row],[Lifetime NOx Reduction (tons)]]=0,"NA",Table2[[#This Row],[Upgrade Cost Per Unit]]/Table2[[#This Row],[Lifetime NOx Reduction (tons)]]))</f>
        <v/>
      </c>
      <c r="BG225" s="190" t="str">
        <f>IF(Table2[[#This Row],[Counter Number]]="","",Table2[[#This Row],[Annual Miles Traveled:]]*VLOOKUP(Table2[[#This Row],[Engine Model Year:]],EF!$A$2:$G$27,4,FALSE))</f>
        <v/>
      </c>
      <c r="BH225" s="173" t="str">
        <f>IF(Table2[[#This Row],[Counter Number]]="","",Table2[[#This Row],[Annual Miles Traveled:]]*IF(Table2[[#This Row],[New Engine Fuel Type:]]="ULSD",VLOOKUP(Table2[[#This Row],[New Engine Model Year:]],EFTable[],4,FALSE),VLOOKUP(Table2[[#This Row],[New Engine Fuel Type:]],EFTable[],4,FALSE)))</f>
        <v/>
      </c>
      <c r="BI225" s="191" t="str">
        <f>IF(Table2[[#This Row],[Counter Number]]="","",Table2[[#This Row],[Old Bus PM2.5 Emissions (tons/yr)]]-Table2[[#This Row],[New Bus PM2.5 Emissions (tons/yr)]])</f>
        <v/>
      </c>
      <c r="BJ225" s="192" t="str">
        <f>IF(Table2[[#This Row],[Counter Number]]="","",Table2[[#This Row],[Reduction Bus PM2.5 Emissions (tons/yr)]]/Table2[[#This Row],[Old Bus PM2.5 Emissions (tons/yr)]])</f>
        <v/>
      </c>
      <c r="BK225" s="193" t="str">
        <f>IF(Table2[[#This Row],[Counter Number]]="","",Table2[[#This Row],[Reduction Bus PM2.5 Emissions (tons/yr)]]*Table2[[#This Row],[Remaining Life:]])</f>
        <v/>
      </c>
      <c r="BL225" s="194" t="str">
        <f>IF(Table2[[#This Row],[Counter Number]]="","",IF(Table2[[#This Row],[Lifetime PM2.5 Reduction (tons)]]=0,"NA",Table2[[#This Row],[Upgrade Cost Per Unit]]/Table2[[#This Row],[Lifetime PM2.5 Reduction (tons)]]))</f>
        <v/>
      </c>
      <c r="BM225" s="179" t="str">
        <f>IF(Table2[[#This Row],[Counter Number]]="","",Table2[[#This Row],[Annual Miles Traveled:]]*VLOOKUP(Table2[[#This Row],[Engine Model Year:]],EF!$A$2:$G$40,5,FALSE))</f>
        <v/>
      </c>
      <c r="BN225" s="173" t="str">
        <f>IF(Table2[[#This Row],[Counter Number]]="","",Table2[[#This Row],[Annual Miles Traveled:]]*IF(Table2[[#This Row],[New Engine Fuel Type:]]="ULSD",VLOOKUP(Table2[[#This Row],[New Engine Model Year:]],EFTable[],5,FALSE),VLOOKUP(Table2[[#This Row],[New Engine Fuel Type:]],EFTable[],5,FALSE)))</f>
        <v/>
      </c>
      <c r="BO225" s="190" t="str">
        <f>IF(Table2[[#This Row],[Counter Number]]="","",Table2[[#This Row],[Old Bus HC Emissions (tons/yr)]]-Table2[[#This Row],[New Bus HC Emissions (tons/yr)]])</f>
        <v/>
      </c>
      <c r="BP225" s="188" t="str">
        <f>IF(Table2[[#This Row],[Counter Number]]="","",Table2[[#This Row],[Reduction Bus HC Emissions (tons/yr)]]/Table2[[#This Row],[Old Bus HC Emissions (tons/yr)]])</f>
        <v/>
      </c>
      <c r="BQ225" s="193" t="str">
        <f>IF(Table2[[#This Row],[Counter Number]]="","",Table2[[#This Row],[Reduction Bus HC Emissions (tons/yr)]]*Table2[[#This Row],[Remaining Life:]])</f>
        <v/>
      </c>
      <c r="BR225" s="194" t="str">
        <f>IF(Table2[[#This Row],[Counter Number]]="","",IF(Table2[[#This Row],[Lifetime HC Reduction (tons)]]=0,"NA",Table2[[#This Row],[Upgrade Cost Per Unit]]/Table2[[#This Row],[Lifetime HC Reduction (tons)]]))</f>
        <v/>
      </c>
      <c r="BS225" s="191" t="str">
        <f>IF(Table2[[#This Row],[Counter Number]]="","",Table2[[#This Row],[Annual Miles Traveled:]]*VLOOKUP(Table2[[#This Row],[Engine Model Year:]],EF!$A$2:$G$27,6,FALSE))</f>
        <v/>
      </c>
      <c r="BT225" s="173" t="str">
        <f>IF(Table2[[#This Row],[Counter Number]]="","",Table2[[#This Row],[Annual Miles Traveled:]]*IF(Table2[[#This Row],[New Engine Fuel Type:]]="ULSD",VLOOKUP(Table2[[#This Row],[New Engine Model Year:]],EFTable[],6,FALSE),VLOOKUP(Table2[[#This Row],[New Engine Fuel Type:]],EFTable[],6,FALSE)))</f>
        <v/>
      </c>
      <c r="BU225" s="190" t="str">
        <f>IF(Table2[[#This Row],[Counter Number]]="","",Table2[[#This Row],[Old Bus CO Emissions (tons/yr)]]-Table2[[#This Row],[New Bus CO Emissions (tons/yr)]])</f>
        <v/>
      </c>
      <c r="BV225" s="188" t="str">
        <f>IF(Table2[[#This Row],[Counter Number]]="","",Table2[[#This Row],[Reduction Bus CO Emissions (tons/yr)]]/Table2[[#This Row],[Old Bus CO Emissions (tons/yr)]])</f>
        <v/>
      </c>
      <c r="BW225" s="193" t="str">
        <f>IF(Table2[[#This Row],[Counter Number]]="","",Table2[[#This Row],[Reduction Bus CO Emissions (tons/yr)]]*Table2[[#This Row],[Remaining Life:]])</f>
        <v/>
      </c>
      <c r="BX225" s="194" t="str">
        <f>IF(Table2[[#This Row],[Counter Number]]="","",IF(Table2[[#This Row],[Lifetime CO Reduction (tons)]]=0,"NA",Table2[[#This Row],[Upgrade Cost Per Unit]]/Table2[[#This Row],[Lifetime CO Reduction (tons)]]))</f>
        <v/>
      </c>
      <c r="BY225" s="180" t="str">
        <f>IF(Table2[[#This Row],[Counter Number]]="","",Table2[[#This Row],[Old ULSD Used (gal):]]*VLOOKUP(Table2[[#This Row],[Engine Model Year:]],EF!$A$2:$G$27,7,FALSE))</f>
        <v/>
      </c>
      <c r="BZ22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5" s="195" t="str">
        <f>IF(Table2[[#This Row],[Counter Number]]="","",Table2[[#This Row],[Old Bus CO2 Emissions (tons/yr)]]-Table2[[#This Row],[New Bus CO2 Emissions (tons/yr)]])</f>
        <v/>
      </c>
      <c r="CB225" s="188" t="str">
        <f>IF(Table2[[#This Row],[Counter Number]]="","",Table2[[#This Row],[Reduction Bus CO2 Emissions (tons/yr)]]/Table2[[#This Row],[Old Bus CO2 Emissions (tons/yr)]])</f>
        <v/>
      </c>
      <c r="CC225" s="195" t="str">
        <f>IF(Table2[[#This Row],[Counter Number]]="","",Table2[[#This Row],[Reduction Bus CO2 Emissions (tons/yr)]]*Table2[[#This Row],[Remaining Life:]])</f>
        <v/>
      </c>
      <c r="CD225" s="194" t="str">
        <f>IF(Table2[[#This Row],[Counter Number]]="","",IF(Table2[[#This Row],[Lifetime CO2 Reduction (tons)]]=0,"NA",Table2[[#This Row],[Upgrade Cost Per Unit]]/Table2[[#This Row],[Lifetime CO2 Reduction (tons)]]))</f>
        <v/>
      </c>
      <c r="CE225" s="182" t="str">
        <f>IF(Table2[[#This Row],[Counter Number]]="","",IF(Table2[[#This Row],[New ULSD Used (gal):]]="",Table2[[#This Row],[Old ULSD Used (gal):]],Table2[[#This Row],[Old ULSD Used (gal):]]-Table2[[#This Row],[New ULSD Used (gal):]]))</f>
        <v/>
      </c>
      <c r="CF225" s="196" t="str">
        <f>IF(Table2[[#This Row],[Counter Number]]="","",Table2[[#This Row],[Diesel Fuel Reduction (gal/yr)]]/Table2[[#This Row],[Old ULSD Used (gal):]])</f>
        <v/>
      </c>
      <c r="CG225" s="197" t="str">
        <f>IF(Table2[[#This Row],[Counter Number]]="","",Table2[[#This Row],[Diesel Fuel Reduction (gal/yr)]]*Table2[[#This Row],[Remaining Life:]])</f>
        <v/>
      </c>
    </row>
    <row r="226" spans="1:85">
      <c r="A226" s="184" t="str">
        <f>IF(A201&lt;Application!$D$24,A201+1,"")</f>
        <v/>
      </c>
      <c r="B226" s="60" t="str">
        <f>IF(Table2[[#This Row],[Counter Number]]="","",Application!$D$16)</f>
        <v/>
      </c>
      <c r="C226" s="60" t="str">
        <f>IF(Table2[[#This Row],[Counter Number]]="","",Application!$D$14)</f>
        <v/>
      </c>
      <c r="D226" s="60" t="str">
        <f>IF(Table2[[#This Row],[Counter Number]]="","",Table1[[#This Row],[Old Bus Number]])</f>
        <v/>
      </c>
      <c r="E226" s="60" t="str">
        <f>IF(Table2[[#This Row],[Counter Number]]="","",Application!$D$15)</f>
        <v/>
      </c>
      <c r="F226" s="60" t="str">
        <f>IF(Table2[[#This Row],[Counter Number]]="","","On Highway")</f>
        <v/>
      </c>
      <c r="G226" s="60" t="str">
        <f>IF(Table2[[#This Row],[Counter Number]]="","",I226)</f>
        <v/>
      </c>
      <c r="H226" s="60" t="str">
        <f>IF(Table2[[#This Row],[Counter Number]]="","","Georgia")</f>
        <v/>
      </c>
      <c r="I226" s="60" t="str">
        <f>IF(Table2[[#This Row],[Counter Number]]="","",Application!$D$16)</f>
        <v/>
      </c>
      <c r="J226" s="60" t="str">
        <f>IF(Table2[[#This Row],[Counter Number]]="","",Application!$D$21)</f>
        <v/>
      </c>
      <c r="K226" s="60" t="str">
        <f>IF(Table2[[#This Row],[Counter Number]]="","",Application!$J$21)</f>
        <v/>
      </c>
      <c r="L226" s="60" t="str">
        <f>IF(Table2[[#This Row],[Counter Number]]="","","School Bus")</f>
        <v/>
      </c>
      <c r="M226" s="60" t="str">
        <f>IF(Table2[[#This Row],[Counter Number]]="","","School Bus")</f>
        <v/>
      </c>
      <c r="N226" s="60" t="str">
        <f>IF(Table2[[#This Row],[Counter Number]]="","",1)</f>
        <v/>
      </c>
      <c r="O226" s="60" t="str">
        <f>IF(Table2[[#This Row],[Counter Number]]="","",Table1[[#This Row],[Vehicle Identification Number(s):]])</f>
        <v/>
      </c>
      <c r="P226" s="60" t="str">
        <f>IF(Table2[[#This Row],[Counter Number]]="","",Table1[[#This Row],[Old Bus Manufacturer:]])</f>
        <v/>
      </c>
      <c r="Q226" s="60" t="str">
        <f>IF(Table2[[#This Row],[Counter Number]]="","",Table1[[#This Row],[Vehicle Model:]])</f>
        <v/>
      </c>
      <c r="R226" s="165" t="str">
        <f>IF(Table2[[#This Row],[Counter Number]]="","",Table1[[#This Row],[Vehicle Model Year:]])</f>
        <v/>
      </c>
      <c r="S226" s="60" t="str">
        <f>IF(Table2[[#This Row],[Counter Number]]="","",Table1[[#This Row],[Engine Serial Number(s):]])</f>
        <v/>
      </c>
      <c r="T226" s="60" t="str">
        <f>IF(Table2[[#This Row],[Counter Number]]="","",Table1[[#This Row],[Engine Make:]])</f>
        <v/>
      </c>
      <c r="U226" s="60" t="str">
        <f>IF(Table2[[#This Row],[Counter Number]]="","",Table1[[#This Row],[Engine Model:]])</f>
        <v/>
      </c>
      <c r="V226" s="165" t="str">
        <f>IF(Table2[[#This Row],[Counter Number]]="","",Table1[[#This Row],[Engine Model Year:]])</f>
        <v/>
      </c>
      <c r="W226" s="60" t="str">
        <f>IF(Table2[[#This Row],[Counter Number]]="","","NA")</f>
        <v/>
      </c>
      <c r="X226" s="165" t="str">
        <f>IF(Table2[[#This Row],[Counter Number]]="","",Table1[[#This Row],[Engine Horsepower (HP):]])</f>
        <v/>
      </c>
      <c r="Y226" s="165" t="str">
        <f>IF(Table2[[#This Row],[Counter Number]]="","",Table1[[#This Row],[Engine Cylinder Displacement (L):]]&amp;" L")</f>
        <v/>
      </c>
      <c r="Z226" s="165" t="str">
        <f>IF(Table2[[#This Row],[Counter Number]]="","",Table1[[#This Row],[Engine Number of Cylinders:]])</f>
        <v/>
      </c>
      <c r="AA226" s="166" t="str">
        <f>IF(Table2[[#This Row],[Counter Number]]="","",Table1[[#This Row],[Engine Family Name:]])</f>
        <v/>
      </c>
      <c r="AB226" s="60" t="str">
        <f>IF(Table2[[#This Row],[Counter Number]]="","","ULSD")</f>
        <v/>
      </c>
      <c r="AC226" s="167" t="str">
        <f>IF(Table2[[#This Row],[Counter Number]]="","",Table2[[#This Row],[Annual Miles Traveled:]]/Table1[[#This Row],[Old Fuel (mpg)]])</f>
        <v/>
      </c>
      <c r="AD226" s="60" t="str">
        <f>IF(Table2[[#This Row],[Counter Number]]="","","NA")</f>
        <v/>
      </c>
      <c r="AE226" s="168" t="str">
        <f>IF(Table2[[#This Row],[Counter Number]]="","",Table1[[#This Row],[Annual Miles Traveled]])</f>
        <v/>
      </c>
      <c r="AF226" s="169" t="str">
        <f>IF(Table2[[#This Row],[Counter Number]]="","",Table1[[#This Row],[Annual Idling Hours:]])</f>
        <v/>
      </c>
      <c r="AG226" s="60" t="str">
        <f>IF(Table2[[#This Row],[Counter Number]]="","","NA")</f>
        <v/>
      </c>
      <c r="AH226" s="165" t="str">
        <f>IF(Table2[[#This Row],[Counter Number]]="","",IF(Application!$J$25="Set Policy",Table1[[#This Row],[Remaining Life (years)         Set Policy]],Table1[[#This Row],[Remaining Life (years)               Case-by-Case]]))</f>
        <v/>
      </c>
      <c r="AI226" s="165" t="str">
        <f>IF(Table2[[#This Row],[Counter Number]]="","",IF(Application!$J$25="Case-by-Case","NA",Table2[[#This Row],[Fiscal Year of EPA Funds Used:]]+Table2[[#This Row],[Remaining Life:]]))</f>
        <v/>
      </c>
      <c r="AJ226" s="165"/>
      <c r="AK226" s="170" t="str">
        <f>IF(Table2[[#This Row],[Counter Number]]="","",Application!$D$14+1)</f>
        <v/>
      </c>
      <c r="AL226" s="60" t="str">
        <f>IF(Table2[[#This Row],[Counter Number]]="","","Vehicle Replacement")</f>
        <v/>
      </c>
      <c r="AM22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6" s="171" t="str">
        <f>IF(Table2[[#This Row],[Counter Number]]="","",Table1[[#This Row],[Cost of New Bus:]])</f>
        <v/>
      </c>
      <c r="AO226" s="60" t="str">
        <f>IF(Table2[[#This Row],[Counter Number]]="","","NA")</f>
        <v/>
      </c>
      <c r="AP226" s="165" t="str">
        <f>IF(Table2[[#This Row],[Counter Number]]="","",Table1[[#This Row],[New Engine Model Year:]])</f>
        <v/>
      </c>
      <c r="AQ226" s="60" t="str">
        <f>IF(Table2[[#This Row],[Counter Number]]="","","NA")</f>
        <v/>
      </c>
      <c r="AR226" s="165" t="str">
        <f>IF(Table2[[#This Row],[Counter Number]]="","",Table1[[#This Row],[New Engine Horsepower (HP):]])</f>
        <v/>
      </c>
      <c r="AS226" s="60" t="str">
        <f>IF(Table2[[#This Row],[Counter Number]]="","","NA")</f>
        <v/>
      </c>
      <c r="AT226" s="165" t="str">
        <f>IF(Table2[[#This Row],[Counter Number]]="","",Table1[[#This Row],[New Engine Cylinder Displacement (L):]]&amp;" L")</f>
        <v/>
      </c>
      <c r="AU226" s="114" t="str">
        <f>IF(Table2[[#This Row],[Counter Number]]="","",Table1[[#This Row],[New Engine Number of Cylinders:]])</f>
        <v/>
      </c>
      <c r="AV226" s="60" t="str">
        <f>IF(Table2[[#This Row],[Counter Number]]="","",Table1[[#This Row],[New Engine Family Name:]])</f>
        <v/>
      </c>
      <c r="AW22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6" s="60" t="str">
        <f>IF(Table2[[#This Row],[Counter Number]]="","","NA")</f>
        <v/>
      </c>
      <c r="AY226" s="172" t="str">
        <f>IF(Table2[[#This Row],[Counter Number]]="","",IF(Table2[[#This Row],[New Engine Fuel Type:]]="ULSD",Table1[[#This Row],[Annual Miles Traveled]]/Table1[[#This Row],[New Fuel (mpg) if Diesel]],""))</f>
        <v/>
      </c>
      <c r="AZ226" s="60"/>
      <c r="BA226" s="173" t="str">
        <f>IF(Table2[[#This Row],[Counter Number]]="","",Table2[[#This Row],[Annual Miles Traveled:]]*VLOOKUP(Table2[[#This Row],[Engine Model Year:]],EFTable[],3,FALSE))</f>
        <v/>
      </c>
      <c r="BB226" s="173" t="str">
        <f>IF(Table2[[#This Row],[Counter Number]]="","",Table2[[#This Row],[Annual Miles Traveled:]]*IF(Table2[[#This Row],[New Engine Fuel Type:]]="ULSD",VLOOKUP(Table2[[#This Row],[New Engine Model Year:]],EFTable[],3,FALSE),VLOOKUP(Table2[[#This Row],[New Engine Fuel Type:]],EFTable[],3,FALSE)))</f>
        <v/>
      </c>
      <c r="BC226" s="187" t="str">
        <f>IF(Table2[[#This Row],[Counter Number]]="","",Table2[[#This Row],[Old Bus NOx Emissions (tons/yr)]]-Table2[[#This Row],[New Bus NOx Emissions (tons/yr)]])</f>
        <v/>
      </c>
      <c r="BD226" s="188" t="str">
        <f>IF(Table2[[#This Row],[Counter Number]]="","",Table2[[#This Row],[Reduction Bus NOx Emissions (tons/yr)]]/Table2[[#This Row],[Old Bus NOx Emissions (tons/yr)]])</f>
        <v/>
      </c>
      <c r="BE226" s="175" t="str">
        <f>IF(Table2[[#This Row],[Counter Number]]="","",Table2[[#This Row],[Reduction Bus NOx Emissions (tons/yr)]]*Table2[[#This Row],[Remaining Life:]])</f>
        <v/>
      </c>
      <c r="BF226" s="189" t="str">
        <f>IF(Table2[[#This Row],[Counter Number]]="","",IF(Table2[[#This Row],[Lifetime NOx Reduction (tons)]]=0,"NA",Table2[[#This Row],[Upgrade Cost Per Unit]]/Table2[[#This Row],[Lifetime NOx Reduction (tons)]]))</f>
        <v/>
      </c>
      <c r="BG226" s="190" t="str">
        <f>IF(Table2[[#This Row],[Counter Number]]="","",Table2[[#This Row],[Annual Miles Traveled:]]*VLOOKUP(Table2[[#This Row],[Engine Model Year:]],EF!$A$2:$G$27,4,FALSE))</f>
        <v/>
      </c>
      <c r="BH226" s="173" t="str">
        <f>IF(Table2[[#This Row],[Counter Number]]="","",Table2[[#This Row],[Annual Miles Traveled:]]*IF(Table2[[#This Row],[New Engine Fuel Type:]]="ULSD",VLOOKUP(Table2[[#This Row],[New Engine Model Year:]],EFTable[],4,FALSE),VLOOKUP(Table2[[#This Row],[New Engine Fuel Type:]],EFTable[],4,FALSE)))</f>
        <v/>
      </c>
      <c r="BI226" s="191" t="str">
        <f>IF(Table2[[#This Row],[Counter Number]]="","",Table2[[#This Row],[Old Bus PM2.5 Emissions (tons/yr)]]-Table2[[#This Row],[New Bus PM2.5 Emissions (tons/yr)]])</f>
        <v/>
      </c>
      <c r="BJ226" s="192" t="str">
        <f>IF(Table2[[#This Row],[Counter Number]]="","",Table2[[#This Row],[Reduction Bus PM2.5 Emissions (tons/yr)]]/Table2[[#This Row],[Old Bus PM2.5 Emissions (tons/yr)]])</f>
        <v/>
      </c>
      <c r="BK226" s="193" t="str">
        <f>IF(Table2[[#This Row],[Counter Number]]="","",Table2[[#This Row],[Reduction Bus PM2.5 Emissions (tons/yr)]]*Table2[[#This Row],[Remaining Life:]])</f>
        <v/>
      </c>
      <c r="BL226" s="194" t="str">
        <f>IF(Table2[[#This Row],[Counter Number]]="","",IF(Table2[[#This Row],[Lifetime PM2.5 Reduction (tons)]]=0,"NA",Table2[[#This Row],[Upgrade Cost Per Unit]]/Table2[[#This Row],[Lifetime PM2.5 Reduction (tons)]]))</f>
        <v/>
      </c>
      <c r="BM226" s="179" t="str">
        <f>IF(Table2[[#This Row],[Counter Number]]="","",Table2[[#This Row],[Annual Miles Traveled:]]*VLOOKUP(Table2[[#This Row],[Engine Model Year:]],EF!$A$2:$G$40,5,FALSE))</f>
        <v/>
      </c>
      <c r="BN226" s="173" t="str">
        <f>IF(Table2[[#This Row],[Counter Number]]="","",Table2[[#This Row],[Annual Miles Traveled:]]*IF(Table2[[#This Row],[New Engine Fuel Type:]]="ULSD",VLOOKUP(Table2[[#This Row],[New Engine Model Year:]],EFTable[],5,FALSE),VLOOKUP(Table2[[#This Row],[New Engine Fuel Type:]],EFTable[],5,FALSE)))</f>
        <v/>
      </c>
      <c r="BO226" s="190" t="str">
        <f>IF(Table2[[#This Row],[Counter Number]]="","",Table2[[#This Row],[Old Bus HC Emissions (tons/yr)]]-Table2[[#This Row],[New Bus HC Emissions (tons/yr)]])</f>
        <v/>
      </c>
      <c r="BP226" s="188" t="str">
        <f>IF(Table2[[#This Row],[Counter Number]]="","",Table2[[#This Row],[Reduction Bus HC Emissions (tons/yr)]]/Table2[[#This Row],[Old Bus HC Emissions (tons/yr)]])</f>
        <v/>
      </c>
      <c r="BQ226" s="193" t="str">
        <f>IF(Table2[[#This Row],[Counter Number]]="","",Table2[[#This Row],[Reduction Bus HC Emissions (tons/yr)]]*Table2[[#This Row],[Remaining Life:]])</f>
        <v/>
      </c>
      <c r="BR226" s="194" t="str">
        <f>IF(Table2[[#This Row],[Counter Number]]="","",IF(Table2[[#This Row],[Lifetime HC Reduction (tons)]]=0,"NA",Table2[[#This Row],[Upgrade Cost Per Unit]]/Table2[[#This Row],[Lifetime HC Reduction (tons)]]))</f>
        <v/>
      </c>
      <c r="BS226" s="191" t="str">
        <f>IF(Table2[[#This Row],[Counter Number]]="","",Table2[[#This Row],[Annual Miles Traveled:]]*VLOOKUP(Table2[[#This Row],[Engine Model Year:]],EF!$A$2:$G$27,6,FALSE))</f>
        <v/>
      </c>
      <c r="BT226" s="173" t="str">
        <f>IF(Table2[[#This Row],[Counter Number]]="","",Table2[[#This Row],[Annual Miles Traveled:]]*IF(Table2[[#This Row],[New Engine Fuel Type:]]="ULSD",VLOOKUP(Table2[[#This Row],[New Engine Model Year:]],EFTable[],6,FALSE),VLOOKUP(Table2[[#This Row],[New Engine Fuel Type:]],EFTable[],6,FALSE)))</f>
        <v/>
      </c>
      <c r="BU226" s="190" t="str">
        <f>IF(Table2[[#This Row],[Counter Number]]="","",Table2[[#This Row],[Old Bus CO Emissions (tons/yr)]]-Table2[[#This Row],[New Bus CO Emissions (tons/yr)]])</f>
        <v/>
      </c>
      <c r="BV226" s="188" t="str">
        <f>IF(Table2[[#This Row],[Counter Number]]="","",Table2[[#This Row],[Reduction Bus CO Emissions (tons/yr)]]/Table2[[#This Row],[Old Bus CO Emissions (tons/yr)]])</f>
        <v/>
      </c>
      <c r="BW226" s="193" t="str">
        <f>IF(Table2[[#This Row],[Counter Number]]="","",Table2[[#This Row],[Reduction Bus CO Emissions (tons/yr)]]*Table2[[#This Row],[Remaining Life:]])</f>
        <v/>
      </c>
      <c r="BX226" s="194" t="str">
        <f>IF(Table2[[#This Row],[Counter Number]]="","",IF(Table2[[#This Row],[Lifetime CO Reduction (tons)]]=0,"NA",Table2[[#This Row],[Upgrade Cost Per Unit]]/Table2[[#This Row],[Lifetime CO Reduction (tons)]]))</f>
        <v/>
      </c>
      <c r="BY226" s="180" t="str">
        <f>IF(Table2[[#This Row],[Counter Number]]="","",Table2[[#This Row],[Old ULSD Used (gal):]]*VLOOKUP(Table2[[#This Row],[Engine Model Year:]],EF!$A$2:$G$27,7,FALSE))</f>
        <v/>
      </c>
      <c r="BZ22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6" s="195" t="str">
        <f>IF(Table2[[#This Row],[Counter Number]]="","",Table2[[#This Row],[Old Bus CO2 Emissions (tons/yr)]]-Table2[[#This Row],[New Bus CO2 Emissions (tons/yr)]])</f>
        <v/>
      </c>
      <c r="CB226" s="188" t="str">
        <f>IF(Table2[[#This Row],[Counter Number]]="","",Table2[[#This Row],[Reduction Bus CO2 Emissions (tons/yr)]]/Table2[[#This Row],[Old Bus CO2 Emissions (tons/yr)]])</f>
        <v/>
      </c>
      <c r="CC226" s="195" t="str">
        <f>IF(Table2[[#This Row],[Counter Number]]="","",Table2[[#This Row],[Reduction Bus CO2 Emissions (tons/yr)]]*Table2[[#This Row],[Remaining Life:]])</f>
        <v/>
      </c>
      <c r="CD226" s="194" t="str">
        <f>IF(Table2[[#This Row],[Counter Number]]="","",IF(Table2[[#This Row],[Lifetime CO2 Reduction (tons)]]=0,"NA",Table2[[#This Row],[Upgrade Cost Per Unit]]/Table2[[#This Row],[Lifetime CO2 Reduction (tons)]]))</f>
        <v/>
      </c>
      <c r="CE226" s="182" t="str">
        <f>IF(Table2[[#This Row],[Counter Number]]="","",IF(Table2[[#This Row],[New ULSD Used (gal):]]="",Table2[[#This Row],[Old ULSD Used (gal):]],Table2[[#This Row],[Old ULSD Used (gal):]]-Table2[[#This Row],[New ULSD Used (gal):]]))</f>
        <v/>
      </c>
      <c r="CF226" s="196" t="str">
        <f>IF(Table2[[#This Row],[Counter Number]]="","",Table2[[#This Row],[Diesel Fuel Reduction (gal/yr)]]/Table2[[#This Row],[Old ULSD Used (gal):]])</f>
        <v/>
      </c>
      <c r="CG226" s="197" t="str">
        <f>IF(Table2[[#This Row],[Counter Number]]="","",Table2[[#This Row],[Diesel Fuel Reduction (gal/yr)]]*Table2[[#This Row],[Remaining Life:]])</f>
        <v/>
      </c>
    </row>
    <row r="227" spans="1:85">
      <c r="A227" s="184" t="str">
        <f>IF(A202&lt;Application!$D$24,A202+1,"")</f>
        <v/>
      </c>
      <c r="B227" s="60" t="str">
        <f>IF(Table2[[#This Row],[Counter Number]]="","",Application!$D$16)</f>
        <v/>
      </c>
      <c r="C227" s="60" t="str">
        <f>IF(Table2[[#This Row],[Counter Number]]="","",Application!$D$14)</f>
        <v/>
      </c>
      <c r="D227" s="60" t="str">
        <f>IF(Table2[[#This Row],[Counter Number]]="","",Table1[[#This Row],[Old Bus Number]])</f>
        <v/>
      </c>
      <c r="E227" s="60" t="str">
        <f>IF(Table2[[#This Row],[Counter Number]]="","",Application!$D$15)</f>
        <v/>
      </c>
      <c r="F227" s="60" t="str">
        <f>IF(Table2[[#This Row],[Counter Number]]="","","On Highway")</f>
        <v/>
      </c>
      <c r="G227" s="60" t="str">
        <f>IF(Table2[[#This Row],[Counter Number]]="","",I227)</f>
        <v/>
      </c>
      <c r="H227" s="60" t="str">
        <f>IF(Table2[[#This Row],[Counter Number]]="","","Georgia")</f>
        <v/>
      </c>
      <c r="I227" s="60" t="str">
        <f>IF(Table2[[#This Row],[Counter Number]]="","",Application!$D$16)</f>
        <v/>
      </c>
      <c r="J227" s="60" t="str">
        <f>IF(Table2[[#This Row],[Counter Number]]="","",Application!$D$21)</f>
        <v/>
      </c>
      <c r="K227" s="60" t="str">
        <f>IF(Table2[[#This Row],[Counter Number]]="","",Application!$J$21)</f>
        <v/>
      </c>
      <c r="L227" s="60" t="str">
        <f>IF(Table2[[#This Row],[Counter Number]]="","","School Bus")</f>
        <v/>
      </c>
      <c r="M227" s="60" t="str">
        <f>IF(Table2[[#This Row],[Counter Number]]="","","School Bus")</f>
        <v/>
      </c>
      <c r="N227" s="60" t="str">
        <f>IF(Table2[[#This Row],[Counter Number]]="","",1)</f>
        <v/>
      </c>
      <c r="O227" s="60" t="str">
        <f>IF(Table2[[#This Row],[Counter Number]]="","",Table1[[#This Row],[Vehicle Identification Number(s):]])</f>
        <v/>
      </c>
      <c r="P227" s="60" t="str">
        <f>IF(Table2[[#This Row],[Counter Number]]="","",Table1[[#This Row],[Old Bus Manufacturer:]])</f>
        <v/>
      </c>
      <c r="Q227" s="60" t="str">
        <f>IF(Table2[[#This Row],[Counter Number]]="","",Table1[[#This Row],[Vehicle Model:]])</f>
        <v/>
      </c>
      <c r="R227" s="165" t="str">
        <f>IF(Table2[[#This Row],[Counter Number]]="","",Table1[[#This Row],[Vehicle Model Year:]])</f>
        <v/>
      </c>
      <c r="S227" s="60" t="str">
        <f>IF(Table2[[#This Row],[Counter Number]]="","",Table1[[#This Row],[Engine Serial Number(s):]])</f>
        <v/>
      </c>
      <c r="T227" s="60" t="str">
        <f>IF(Table2[[#This Row],[Counter Number]]="","",Table1[[#This Row],[Engine Make:]])</f>
        <v/>
      </c>
      <c r="U227" s="60" t="str">
        <f>IF(Table2[[#This Row],[Counter Number]]="","",Table1[[#This Row],[Engine Model:]])</f>
        <v/>
      </c>
      <c r="V227" s="165" t="str">
        <f>IF(Table2[[#This Row],[Counter Number]]="","",Table1[[#This Row],[Engine Model Year:]])</f>
        <v/>
      </c>
      <c r="W227" s="60" t="str">
        <f>IF(Table2[[#This Row],[Counter Number]]="","","NA")</f>
        <v/>
      </c>
      <c r="X227" s="165" t="str">
        <f>IF(Table2[[#This Row],[Counter Number]]="","",Table1[[#This Row],[Engine Horsepower (HP):]])</f>
        <v/>
      </c>
      <c r="Y227" s="165" t="str">
        <f>IF(Table2[[#This Row],[Counter Number]]="","",Table1[[#This Row],[Engine Cylinder Displacement (L):]]&amp;" L")</f>
        <v/>
      </c>
      <c r="Z227" s="165" t="str">
        <f>IF(Table2[[#This Row],[Counter Number]]="","",Table1[[#This Row],[Engine Number of Cylinders:]])</f>
        <v/>
      </c>
      <c r="AA227" s="166" t="str">
        <f>IF(Table2[[#This Row],[Counter Number]]="","",Table1[[#This Row],[Engine Family Name:]])</f>
        <v/>
      </c>
      <c r="AB227" s="60" t="str">
        <f>IF(Table2[[#This Row],[Counter Number]]="","","ULSD")</f>
        <v/>
      </c>
      <c r="AC227" s="167" t="str">
        <f>IF(Table2[[#This Row],[Counter Number]]="","",Table2[[#This Row],[Annual Miles Traveled:]]/Table1[[#This Row],[Old Fuel (mpg)]])</f>
        <v/>
      </c>
      <c r="AD227" s="60" t="str">
        <f>IF(Table2[[#This Row],[Counter Number]]="","","NA")</f>
        <v/>
      </c>
      <c r="AE227" s="168" t="str">
        <f>IF(Table2[[#This Row],[Counter Number]]="","",Table1[[#This Row],[Annual Miles Traveled]])</f>
        <v/>
      </c>
      <c r="AF227" s="169" t="str">
        <f>IF(Table2[[#This Row],[Counter Number]]="","",Table1[[#This Row],[Annual Idling Hours:]])</f>
        <v/>
      </c>
      <c r="AG227" s="60" t="str">
        <f>IF(Table2[[#This Row],[Counter Number]]="","","NA")</f>
        <v/>
      </c>
      <c r="AH227" s="165" t="str">
        <f>IF(Table2[[#This Row],[Counter Number]]="","",IF(Application!$J$25="Set Policy",Table1[[#This Row],[Remaining Life (years)         Set Policy]],Table1[[#This Row],[Remaining Life (years)               Case-by-Case]]))</f>
        <v/>
      </c>
      <c r="AI227" s="165" t="str">
        <f>IF(Table2[[#This Row],[Counter Number]]="","",IF(Application!$J$25="Case-by-Case","NA",Table2[[#This Row],[Fiscal Year of EPA Funds Used:]]+Table2[[#This Row],[Remaining Life:]]))</f>
        <v/>
      </c>
      <c r="AJ227" s="165"/>
      <c r="AK227" s="170" t="str">
        <f>IF(Table2[[#This Row],[Counter Number]]="","",Application!$D$14+1)</f>
        <v/>
      </c>
      <c r="AL227" s="60" t="str">
        <f>IF(Table2[[#This Row],[Counter Number]]="","","Vehicle Replacement")</f>
        <v/>
      </c>
      <c r="AM22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7" s="171" t="str">
        <f>IF(Table2[[#This Row],[Counter Number]]="","",Table1[[#This Row],[Cost of New Bus:]])</f>
        <v/>
      </c>
      <c r="AO227" s="60" t="str">
        <f>IF(Table2[[#This Row],[Counter Number]]="","","NA")</f>
        <v/>
      </c>
      <c r="AP227" s="165" t="str">
        <f>IF(Table2[[#This Row],[Counter Number]]="","",Table1[[#This Row],[New Engine Model Year:]])</f>
        <v/>
      </c>
      <c r="AQ227" s="60" t="str">
        <f>IF(Table2[[#This Row],[Counter Number]]="","","NA")</f>
        <v/>
      </c>
      <c r="AR227" s="165" t="str">
        <f>IF(Table2[[#This Row],[Counter Number]]="","",Table1[[#This Row],[New Engine Horsepower (HP):]])</f>
        <v/>
      </c>
      <c r="AS227" s="60" t="str">
        <f>IF(Table2[[#This Row],[Counter Number]]="","","NA")</f>
        <v/>
      </c>
      <c r="AT227" s="165" t="str">
        <f>IF(Table2[[#This Row],[Counter Number]]="","",Table1[[#This Row],[New Engine Cylinder Displacement (L):]]&amp;" L")</f>
        <v/>
      </c>
      <c r="AU227" s="114" t="str">
        <f>IF(Table2[[#This Row],[Counter Number]]="","",Table1[[#This Row],[New Engine Number of Cylinders:]])</f>
        <v/>
      </c>
      <c r="AV227" s="60" t="str">
        <f>IF(Table2[[#This Row],[Counter Number]]="","",Table1[[#This Row],[New Engine Family Name:]])</f>
        <v/>
      </c>
      <c r="AW22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7" s="60" t="str">
        <f>IF(Table2[[#This Row],[Counter Number]]="","","NA")</f>
        <v/>
      </c>
      <c r="AY227" s="172" t="str">
        <f>IF(Table2[[#This Row],[Counter Number]]="","",IF(Table2[[#This Row],[New Engine Fuel Type:]]="ULSD",Table1[[#This Row],[Annual Miles Traveled]]/Table1[[#This Row],[New Fuel (mpg) if Diesel]],""))</f>
        <v/>
      </c>
      <c r="AZ227" s="60"/>
      <c r="BA227" s="173" t="str">
        <f>IF(Table2[[#This Row],[Counter Number]]="","",Table2[[#This Row],[Annual Miles Traveled:]]*VLOOKUP(Table2[[#This Row],[Engine Model Year:]],EFTable[],3,FALSE))</f>
        <v/>
      </c>
      <c r="BB227" s="173" t="str">
        <f>IF(Table2[[#This Row],[Counter Number]]="","",Table2[[#This Row],[Annual Miles Traveled:]]*IF(Table2[[#This Row],[New Engine Fuel Type:]]="ULSD",VLOOKUP(Table2[[#This Row],[New Engine Model Year:]],EFTable[],3,FALSE),VLOOKUP(Table2[[#This Row],[New Engine Fuel Type:]],EFTable[],3,FALSE)))</f>
        <v/>
      </c>
      <c r="BC227" s="187" t="str">
        <f>IF(Table2[[#This Row],[Counter Number]]="","",Table2[[#This Row],[Old Bus NOx Emissions (tons/yr)]]-Table2[[#This Row],[New Bus NOx Emissions (tons/yr)]])</f>
        <v/>
      </c>
      <c r="BD227" s="188" t="str">
        <f>IF(Table2[[#This Row],[Counter Number]]="","",Table2[[#This Row],[Reduction Bus NOx Emissions (tons/yr)]]/Table2[[#This Row],[Old Bus NOx Emissions (tons/yr)]])</f>
        <v/>
      </c>
      <c r="BE227" s="175" t="str">
        <f>IF(Table2[[#This Row],[Counter Number]]="","",Table2[[#This Row],[Reduction Bus NOx Emissions (tons/yr)]]*Table2[[#This Row],[Remaining Life:]])</f>
        <v/>
      </c>
      <c r="BF227" s="189" t="str">
        <f>IF(Table2[[#This Row],[Counter Number]]="","",IF(Table2[[#This Row],[Lifetime NOx Reduction (tons)]]=0,"NA",Table2[[#This Row],[Upgrade Cost Per Unit]]/Table2[[#This Row],[Lifetime NOx Reduction (tons)]]))</f>
        <v/>
      </c>
      <c r="BG227" s="190" t="str">
        <f>IF(Table2[[#This Row],[Counter Number]]="","",Table2[[#This Row],[Annual Miles Traveled:]]*VLOOKUP(Table2[[#This Row],[Engine Model Year:]],EF!$A$2:$G$27,4,FALSE))</f>
        <v/>
      </c>
      <c r="BH227" s="173" t="str">
        <f>IF(Table2[[#This Row],[Counter Number]]="","",Table2[[#This Row],[Annual Miles Traveled:]]*IF(Table2[[#This Row],[New Engine Fuel Type:]]="ULSD",VLOOKUP(Table2[[#This Row],[New Engine Model Year:]],EFTable[],4,FALSE),VLOOKUP(Table2[[#This Row],[New Engine Fuel Type:]],EFTable[],4,FALSE)))</f>
        <v/>
      </c>
      <c r="BI227" s="191" t="str">
        <f>IF(Table2[[#This Row],[Counter Number]]="","",Table2[[#This Row],[Old Bus PM2.5 Emissions (tons/yr)]]-Table2[[#This Row],[New Bus PM2.5 Emissions (tons/yr)]])</f>
        <v/>
      </c>
      <c r="BJ227" s="192" t="str">
        <f>IF(Table2[[#This Row],[Counter Number]]="","",Table2[[#This Row],[Reduction Bus PM2.5 Emissions (tons/yr)]]/Table2[[#This Row],[Old Bus PM2.5 Emissions (tons/yr)]])</f>
        <v/>
      </c>
      <c r="BK227" s="193" t="str">
        <f>IF(Table2[[#This Row],[Counter Number]]="","",Table2[[#This Row],[Reduction Bus PM2.5 Emissions (tons/yr)]]*Table2[[#This Row],[Remaining Life:]])</f>
        <v/>
      </c>
      <c r="BL227" s="194" t="str">
        <f>IF(Table2[[#This Row],[Counter Number]]="","",IF(Table2[[#This Row],[Lifetime PM2.5 Reduction (tons)]]=0,"NA",Table2[[#This Row],[Upgrade Cost Per Unit]]/Table2[[#This Row],[Lifetime PM2.5 Reduction (tons)]]))</f>
        <v/>
      </c>
      <c r="BM227" s="179" t="str">
        <f>IF(Table2[[#This Row],[Counter Number]]="","",Table2[[#This Row],[Annual Miles Traveled:]]*VLOOKUP(Table2[[#This Row],[Engine Model Year:]],EF!$A$2:$G$40,5,FALSE))</f>
        <v/>
      </c>
      <c r="BN227" s="173" t="str">
        <f>IF(Table2[[#This Row],[Counter Number]]="","",Table2[[#This Row],[Annual Miles Traveled:]]*IF(Table2[[#This Row],[New Engine Fuel Type:]]="ULSD",VLOOKUP(Table2[[#This Row],[New Engine Model Year:]],EFTable[],5,FALSE),VLOOKUP(Table2[[#This Row],[New Engine Fuel Type:]],EFTable[],5,FALSE)))</f>
        <v/>
      </c>
      <c r="BO227" s="190" t="str">
        <f>IF(Table2[[#This Row],[Counter Number]]="","",Table2[[#This Row],[Old Bus HC Emissions (tons/yr)]]-Table2[[#This Row],[New Bus HC Emissions (tons/yr)]])</f>
        <v/>
      </c>
      <c r="BP227" s="188" t="str">
        <f>IF(Table2[[#This Row],[Counter Number]]="","",Table2[[#This Row],[Reduction Bus HC Emissions (tons/yr)]]/Table2[[#This Row],[Old Bus HC Emissions (tons/yr)]])</f>
        <v/>
      </c>
      <c r="BQ227" s="193" t="str">
        <f>IF(Table2[[#This Row],[Counter Number]]="","",Table2[[#This Row],[Reduction Bus HC Emissions (tons/yr)]]*Table2[[#This Row],[Remaining Life:]])</f>
        <v/>
      </c>
      <c r="BR227" s="194" t="str">
        <f>IF(Table2[[#This Row],[Counter Number]]="","",IF(Table2[[#This Row],[Lifetime HC Reduction (tons)]]=0,"NA",Table2[[#This Row],[Upgrade Cost Per Unit]]/Table2[[#This Row],[Lifetime HC Reduction (tons)]]))</f>
        <v/>
      </c>
      <c r="BS227" s="191" t="str">
        <f>IF(Table2[[#This Row],[Counter Number]]="","",Table2[[#This Row],[Annual Miles Traveled:]]*VLOOKUP(Table2[[#This Row],[Engine Model Year:]],EF!$A$2:$G$27,6,FALSE))</f>
        <v/>
      </c>
      <c r="BT227" s="173" t="str">
        <f>IF(Table2[[#This Row],[Counter Number]]="","",Table2[[#This Row],[Annual Miles Traveled:]]*IF(Table2[[#This Row],[New Engine Fuel Type:]]="ULSD",VLOOKUP(Table2[[#This Row],[New Engine Model Year:]],EFTable[],6,FALSE),VLOOKUP(Table2[[#This Row],[New Engine Fuel Type:]],EFTable[],6,FALSE)))</f>
        <v/>
      </c>
      <c r="BU227" s="190" t="str">
        <f>IF(Table2[[#This Row],[Counter Number]]="","",Table2[[#This Row],[Old Bus CO Emissions (tons/yr)]]-Table2[[#This Row],[New Bus CO Emissions (tons/yr)]])</f>
        <v/>
      </c>
      <c r="BV227" s="188" t="str">
        <f>IF(Table2[[#This Row],[Counter Number]]="","",Table2[[#This Row],[Reduction Bus CO Emissions (tons/yr)]]/Table2[[#This Row],[Old Bus CO Emissions (tons/yr)]])</f>
        <v/>
      </c>
      <c r="BW227" s="193" t="str">
        <f>IF(Table2[[#This Row],[Counter Number]]="","",Table2[[#This Row],[Reduction Bus CO Emissions (tons/yr)]]*Table2[[#This Row],[Remaining Life:]])</f>
        <v/>
      </c>
      <c r="BX227" s="194" t="str">
        <f>IF(Table2[[#This Row],[Counter Number]]="","",IF(Table2[[#This Row],[Lifetime CO Reduction (tons)]]=0,"NA",Table2[[#This Row],[Upgrade Cost Per Unit]]/Table2[[#This Row],[Lifetime CO Reduction (tons)]]))</f>
        <v/>
      </c>
      <c r="BY227" s="180" t="str">
        <f>IF(Table2[[#This Row],[Counter Number]]="","",Table2[[#This Row],[Old ULSD Used (gal):]]*VLOOKUP(Table2[[#This Row],[Engine Model Year:]],EF!$A$2:$G$27,7,FALSE))</f>
        <v/>
      </c>
      <c r="BZ22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7" s="195" t="str">
        <f>IF(Table2[[#This Row],[Counter Number]]="","",Table2[[#This Row],[Old Bus CO2 Emissions (tons/yr)]]-Table2[[#This Row],[New Bus CO2 Emissions (tons/yr)]])</f>
        <v/>
      </c>
      <c r="CB227" s="188" t="str">
        <f>IF(Table2[[#This Row],[Counter Number]]="","",Table2[[#This Row],[Reduction Bus CO2 Emissions (tons/yr)]]/Table2[[#This Row],[Old Bus CO2 Emissions (tons/yr)]])</f>
        <v/>
      </c>
      <c r="CC227" s="195" t="str">
        <f>IF(Table2[[#This Row],[Counter Number]]="","",Table2[[#This Row],[Reduction Bus CO2 Emissions (tons/yr)]]*Table2[[#This Row],[Remaining Life:]])</f>
        <v/>
      </c>
      <c r="CD227" s="194" t="str">
        <f>IF(Table2[[#This Row],[Counter Number]]="","",IF(Table2[[#This Row],[Lifetime CO2 Reduction (tons)]]=0,"NA",Table2[[#This Row],[Upgrade Cost Per Unit]]/Table2[[#This Row],[Lifetime CO2 Reduction (tons)]]))</f>
        <v/>
      </c>
      <c r="CE227" s="182" t="str">
        <f>IF(Table2[[#This Row],[Counter Number]]="","",IF(Table2[[#This Row],[New ULSD Used (gal):]]="",Table2[[#This Row],[Old ULSD Used (gal):]],Table2[[#This Row],[Old ULSD Used (gal):]]-Table2[[#This Row],[New ULSD Used (gal):]]))</f>
        <v/>
      </c>
      <c r="CF227" s="196" t="str">
        <f>IF(Table2[[#This Row],[Counter Number]]="","",Table2[[#This Row],[Diesel Fuel Reduction (gal/yr)]]/Table2[[#This Row],[Old ULSD Used (gal):]])</f>
        <v/>
      </c>
      <c r="CG227" s="197" t="str">
        <f>IF(Table2[[#This Row],[Counter Number]]="","",Table2[[#This Row],[Diesel Fuel Reduction (gal/yr)]]*Table2[[#This Row],[Remaining Life:]])</f>
        <v/>
      </c>
    </row>
    <row r="228" spans="1:85">
      <c r="A228" s="71" t="s">
        <v>127</v>
      </c>
      <c r="B228" s="72"/>
      <c r="C228" s="72"/>
      <c r="D228" s="72"/>
      <c r="E228" s="72"/>
      <c r="F228" s="72"/>
      <c r="G228" s="72"/>
      <c r="H228" s="72"/>
      <c r="I228" s="72"/>
      <c r="J228" s="72"/>
      <c r="K228" s="72"/>
      <c r="L228" s="72"/>
      <c r="M228" s="72"/>
      <c r="N228" s="72"/>
      <c r="O228" s="72"/>
      <c r="P228" s="72"/>
      <c r="Q228" s="72"/>
      <c r="R228" s="115"/>
      <c r="S228" s="73"/>
      <c r="T228" s="72"/>
      <c r="U228" s="72"/>
      <c r="V228" s="115"/>
      <c r="W228" s="72"/>
      <c r="X228" s="115"/>
      <c r="Y228" s="115"/>
      <c r="Z228" s="115"/>
      <c r="AA228" s="116"/>
      <c r="AB228" s="72"/>
      <c r="AC228" s="72"/>
      <c r="AD228" s="72"/>
      <c r="AE228" s="93"/>
      <c r="AF228" s="139"/>
      <c r="AG228" s="72"/>
      <c r="AH228" s="91" t="str">
        <f>IFERROR(LOOKUP("Not Eligible",#REF!),"")</f>
        <v/>
      </c>
      <c r="AI228" s="115"/>
      <c r="AJ228" s="115"/>
      <c r="AK228" s="115"/>
      <c r="AL228" s="72"/>
      <c r="AM228" s="69" t="s">
        <v>308</v>
      </c>
      <c r="AN228" s="74">
        <f>SUBTOTAL(109,Table2[Upgrade Cost Per Unit])</f>
        <v>0</v>
      </c>
      <c r="AO228" s="72"/>
      <c r="AP228" s="115"/>
      <c r="AQ228" s="72"/>
      <c r="AR228" s="115"/>
      <c r="AS228" s="72"/>
      <c r="AT228" s="115"/>
      <c r="AU228" s="115"/>
      <c r="AV228" s="72"/>
      <c r="AW228" s="72"/>
      <c r="AX228" s="72"/>
      <c r="AY228" s="75"/>
      <c r="AZ228" s="75"/>
      <c r="BA228" s="76" t="e">
        <f>SUBTOTAL(109,Table2[Old Bus NOx Emissions (tons/yr)])</f>
        <v>#N/A</v>
      </c>
      <c r="BB228" s="76">
        <f>SUBTOTAL(109,Table2[New Bus NOx Emissions (tons/yr)])</f>
        <v>0</v>
      </c>
      <c r="BC228" s="76" t="e">
        <f>SUBTOTAL(109,Table2[Reduction Bus NOx Emissions (tons/yr)])</f>
        <v>#N/A</v>
      </c>
      <c r="BD228" s="77" t="e">
        <f>Table2[[#Totals],[Reduction Bus NOx Emissions (tons/yr)]]/BA228</f>
        <v>#N/A</v>
      </c>
      <c r="BE228" s="78" t="e">
        <f>SUBTOTAL(109,Table2[Lifetime NOx Reduction (tons)])</f>
        <v>#N/A</v>
      </c>
      <c r="BF228" s="79" t="e">
        <f>Application!$H$35/Table2[[#Totals],[Lifetime NOx Reduction (tons)]]</f>
        <v>#N/A</v>
      </c>
      <c r="BG228" s="76" t="e">
        <f>SUBTOTAL(109,Table2[Old Bus PM2.5 Emissions (tons/yr)])</f>
        <v>#N/A</v>
      </c>
      <c r="BH228" s="76">
        <f>SUBTOTAL(109,Table2[New Bus PM2.5 Emissions (tons/yr)])</f>
        <v>0</v>
      </c>
      <c r="BI228" s="76" t="e">
        <f>SUBTOTAL(109,Table2[Reduction Bus PM2.5 Emissions (tons/yr)])</f>
        <v>#N/A</v>
      </c>
      <c r="BJ228" s="77" t="e">
        <f>Table2[[#Totals],[Reduction Bus PM2.5 Emissions (tons/yr)]]/Table2[[#Totals],[Old Bus PM2.5 Emissions (tons/yr)]]</f>
        <v>#N/A</v>
      </c>
      <c r="BK228" s="78" t="e">
        <f>SUBTOTAL(109,Table2[Lifetime PM2.5 Reduction (tons)])</f>
        <v>#N/A</v>
      </c>
      <c r="BL228" s="79" t="e">
        <f>Application!$H$35/Table2[[#Totals],[Lifetime PM2.5 Reduction (tons)]]</f>
        <v>#N/A</v>
      </c>
      <c r="BM228" s="80" t="e">
        <f>SUBTOTAL(109,Table2[Old Bus HC Emissions (tons/yr)])</f>
        <v>#N/A</v>
      </c>
      <c r="BN228" s="81">
        <f>SUBTOTAL(109,Table2[New Bus HC Emissions (tons/yr)])</f>
        <v>0</v>
      </c>
      <c r="BO228" s="81" t="e">
        <f>SUBTOTAL(109,Table2[Reduction Bus HC Emissions (tons/yr)])</f>
        <v>#N/A</v>
      </c>
      <c r="BP228" s="77" t="e">
        <f>Table2[[#Totals],[Reduction Bus HC Emissions (tons/yr)]]/BM228</f>
        <v>#N/A</v>
      </c>
      <c r="BQ228" s="78" t="e">
        <f>SUBTOTAL(109,Table2[Lifetime HC Reduction (tons)])</f>
        <v>#N/A</v>
      </c>
      <c r="BR228" s="79" t="e">
        <f>Application!$H$35/Table2[[#Totals],[Lifetime HC Reduction (tons)]]</f>
        <v>#N/A</v>
      </c>
      <c r="BS228" s="80" t="e">
        <f>SUBTOTAL(109,Table2[Old Bus CO Emissions (tons/yr)])</f>
        <v>#N/A</v>
      </c>
      <c r="BT228" s="81">
        <f>SUBTOTAL(109,Table2[New Bus CO Emissions (tons/yr)])</f>
        <v>0</v>
      </c>
      <c r="BU228" s="81" t="e">
        <f>SUBTOTAL(109,Table2[Reduction Bus CO Emissions (tons/yr)])</f>
        <v>#N/A</v>
      </c>
      <c r="BV228" s="77" t="e">
        <f>Table2[[#Totals],[Reduction Bus CO Emissions (tons/yr)]]/BS228</f>
        <v>#N/A</v>
      </c>
      <c r="BW228" s="78" t="e">
        <f>SUBTOTAL(109,Table2[Lifetime CO Reduction (tons)])</f>
        <v>#N/A</v>
      </c>
      <c r="BX228" s="79" t="e">
        <f>Application!$H$35/Table2[[#Totals],[Lifetime CO Reduction (tons)]]</f>
        <v>#N/A</v>
      </c>
      <c r="BY228" s="159" t="e">
        <f>SUBTOTAL(109,Table2[Old Bus CO2 Emissions (tons/yr)])</f>
        <v>#DIV/0!</v>
      </c>
      <c r="BZ228" s="159">
        <f>SUBTOTAL(109,Table2[New Bus CO2 Emissions (tons/yr)])</f>
        <v>0</v>
      </c>
      <c r="CA228" s="151" t="e">
        <f>SUBTOTAL(109,Table2[Reduction Bus CO2 Emissions (tons/yr)])</f>
        <v>#DIV/0!</v>
      </c>
      <c r="CB228" s="77" t="e">
        <f>Table2[[#Totals],[Reduction Bus CO2 Emissions (tons/yr)]]/BY228</f>
        <v>#DIV/0!</v>
      </c>
      <c r="CC228" s="151" t="e">
        <f>SUBTOTAL(109,Table2[Lifetime CO2 Reduction (tons)])</f>
        <v>#DIV/0!</v>
      </c>
      <c r="CD228" s="79" t="e">
        <f>Application!$H$35/Table2[[#Totals],[Lifetime CO2 Reduction (tons)]]</f>
        <v>#DIV/0!</v>
      </c>
      <c r="CE228" s="160" t="e">
        <f>SUBTOTAL(109,Table2[Diesel Fuel Reduction (gal/yr)])</f>
        <v>#DIV/0!</v>
      </c>
      <c r="CF228" s="82"/>
      <c r="CG228" s="160" t="e">
        <f>SUBTOTAL(109,Table2[Lifetime Diesel Fuel Reduction (gal)])</f>
        <v>#DIV/0!</v>
      </c>
    </row>
    <row r="229" spans="1:85">
      <c r="V229" s="95"/>
      <c r="AF229" s="137"/>
      <c r="AI229" s="95"/>
      <c r="AJ229" s="95"/>
      <c r="AK229" s="95"/>
      <c r="AN229" s="199"/>
      <c r="AT229" s="95"/>
      <c r="BE229" s="68" t="s">
        <v>128</v>
      </c>
      <c r="BK229" s="69" t="s">
        <v>51</v>
      </c>
    </row>
    <row r="230" spans="1:85">
      <c r="V230" s="95"/>
      <c r="AF230" s="137"/>
      <c r="AI230" s="95"/>
      <c r="AJ230" s="95"/>
      <c r="AK230" s="95"/>
    </row>
  </sheetData>
  <sheetProtection sheet="1" objects="1" scenarios="1"/>
  <mergeCells count="3">
    <mergeCell ref="AK1:AY1"/>
    <mergeCell ref="BA1:CG1"/>
    <mergeCell ref="A1:AI1"/>
  </mergeCells>
  <phoneticPr fontId="8" type="noConversion"/>
  <conditionalFormatting sqref="AH3:AH228">
    <cfRule type="containsText" dxfId="0" priority="1" operator="containsText" text="Not Eligible">
      <formula>NOT(ISERROR(SEARCH("Not Eligible",AH3)))</formula>
    </cfRule>
  </conditionalFormatting>
  <pageMargins left="0.7" right="0.7" top="0.75" bottom="0.75" header="0.3" footer="0.3"/>
  <pageSetup scale="10" fitToHeight="0" orientation="portrait" r:id="rId1"/>
  <ignoredErrors>
    <ignoredError sqref="A118 A3:A43 BB3"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2707C51-FB93-4E18-B547-9C4B6ADAAB7F}">
          <x14:formula1>
            <xm:f>DropDown!$B$2:$B$26</xm:f>
          </x14:formula1>
          <xm:sqref>V3:V227 R3:R227</xm:sqref>
        </x14:dataValidation>
        <x14:dataValidation type="list" allowBlank="1" showInputMessage="1" xr:uid="{E1077E32-9288-4B3B-ABD5-B27452E08D53}">
          <x14:formula1>
            <xm:f>DropDown!$E$2:$E$5</xm:f>
          </x14:formula1>
          <xm:sqref>AW3:AW227</xm:sqref>
        </x14:dataValidation>
        <x14:dataValidation type="list" allowBlank="1" showInputMessage="1" showErrorMessage="1" xr:uid="{75666686-FE06-49DC-ACB7-19B81CB27BC2}">
          <x14:formula1>
            <xm:f>DropDown!$A$3:$A$8</xm:f>
          </x14:formula1>
          <xm:sqref>AP3:AP227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90A13-8A4A-44B2-8192-F147AA5DE450}">
  <sheetPr codeName="Sheet7"/>
  <dimension ref="A1:J792"/>
  <sheetViews>
    <sheetView topLeftCell="E1" workbookViewId="0">
      <selection activeCell="H16" sqref="H16"/>
    </sheetView>
  </sheetViews>
  <sheetFormatPr defaultColWidth="8.77734375" defaultRowHeight="15.6"/>
  <cols>
    <col min="1" max="1" width="27.44140625" style="9" customWidth="1"/>
    <col min="2" max="2" width="34.21875" style="9" customWidth="1"/>
    <col min="3" max="4" width="16.88671875" style="9" customWidth="1"/>
    <col min="5" max="5" width="14.44140625" style="9" customWidth="1"/>
    <col min="6" max="6" width="18" style="9" customWidth="1"/>
    <col min="7" max="7" width="9.88671875" style="3" customWidth="1"/>
    <col min="8" max="8" width="12.44140625" style="85" customWidth="1"/>
    <col min="9" max="9" width="9" style="9" customWidth="1"/>
    <col min="10" max="10" width="14.6640625" style="3" customWidth="1"/>
    <col min="11" max="16384" width="8.77734375" style="9"/>
  </cols>
  <sheetData>
    <row r="1" spans="1:10" s="8" customFormat="1" ht="32.549999999999997" customHeight="1">
      <c r="A1" s="8" t="s">
        <v>355</v>
      </c>
      <c r="B1" s="8" t="s">
        <v>64</v>
      </c>
      <c r="C1" s="8" t="s">
        <v>302</v>
      </c>
      <c r="D1" s="8" t="s">
        <v>301</v>
      </c>
      <c r="E1" s="8" t="s">
        <v>61</v>
      </c>
      <c r="F1" s="8" t="s">
        <v>318</v>
      </c>
      <c r="G1" s="87" t="s">
        <v>131</v>
      </c>
      <c r="H1" s="88" t="s">
        <v>132</v>
      </c>
      <c r="I1" s="88" t="s">
        <v>356</v>
      </c>
      <c r="J1" s="8" t="s">
        <v>344</v>
      </c>
    </row>
    <row r="2" spans="1:10">
      <c r="A2" s="9">
        <v>2022</v>
      </c>
      <c r="B2" s="9">
        <v>1996</v>
      </c>
      <c r="C2" s="9" t="s">
        <v>303</v>
      </c>
      <c r="D2" s="9" t="s">
        <v>299</v>
      </c>
      <c r="E2" s="9" t="s">
        <v>65</v>
      </c>
      <c r="F2" s="9" t="s">
        <v>50</v>
      </c>
      <c r="G2" s="3" t="s">
        <v>133</v>
      </c>
      <c r="H2" s="85">
        <v>1</v>
      </c>
      <c r="I2" s="9">
        <v>3</v>
      </c>
      <c r="J2" s="9" t="s">
        <v>345</v>
      </c>
    </row>
    <row r="3" spans="1:10">
      <c r="A3" s="9">
        <v>2021</v>
      </c>
      <c r="B3" s="9">
        <f>B2+1</f>
        <v>1997</v>
      </c>
      <c r="C3" s="9" t="s">
        <v>304</v>
      </c>
      <c r="D3" s="9" t="s">
        <v>300</v>
      </c>
      <c r="E3" s="9" t="s">
        <v>66</v>
      </c>
      <c r="F3" s="9" t="s">
        <v>319</v>
      </c>
      <c r="G3" s="3" t="s">
        <v>134</v>
      </c>
      <c r="H3" s="85">
        <v>3</v>
      </c>
      <c r="I3" s="9">
        <v>3</v>
      </c>
      <c r="J3" s="9" t="s">
        <v>346</v>
      </c>
    </row>
    <row r="4" spans="1:10">
      <c r="A4" s="9">
        <v>2020</v>
      </c>
      <c r="B4" s="9">
        <f t="shared" ref="B4:B25" si="0">B3+1</f>
        <v>1998</v>
      </c>
      <c r="E4" s="9" t="s">
        <v>62</v>
      </c>
      <c r="F4" s="9" t="s">
        <v>62</v>
      </c>
      <c r="G4" s="3" t="s">
        <v>135</v>
      </c>
      <c r="H4" s="85">
        <v>5</v>
      </c>
      <c r="I4" s="9">
        <v>3</v>
      </c>
      <c r="J4" s="9" t="s">
        <v>347</v>
      </c>
    </row>
    <row r="5" spans="1:10">
      <c r="A5" s="9">
        <v>2019</v>
      </c>
      <c r="B5" s="9">
        <f t="shared" si="0"/>
        <v>1999</v>
      </c>
      <c r="E5" s="9" t="s">
        <v>63</v>
      </c>
      <c r="F5" s="9" t="s">
        <v>320</v>
      </c>
      <c r="G5" s="3" t="s">
        <v>136</v>
      </c>
      <c r="H5" s="85">
        <v>7</v>
      </c>
      <c r="I5" s="9">
        <v>3</v>
      </c>
      <c r="J5" s="9" t="s">
        <v>348</v>
      </c>
    </row>
    <row r="6" spans="1:10">
      <c r="A6" s="9">
        <v>2018</v>
      </c>
      <c r="B6" s="9">
        <f t="shared" si="0"/>
        <v>2000</v>
      </c>
      <c r="E6" s="9" t="s">
        <v>354</v>
      </c>
      <c r="F6" s="9" t="s">
        <v>354</v>
      </c>
      <c r="G6" s="3" t="s">
        <v>137</v>
      </c>
      <c r="H6" s="85">
        <v>9</v>
      </c>
      <c r="I6" s="9">
        <v>3</v>
      </c>
    </row>
    <row r="7" spans="1:10">
      <c r="A7" s="9">
        <v>2017</v>
      </c>
      <c r="B7" s="9">
        <f t="shared" si="0"/>
        <v>2001</v>
      </c>
      <c r="E7"/>
      <c r="F7"/>
      <c r="G7" s="110" t="s">
        <v>138</v>
      </c>
      <c r="H7" s="85">
        <v>11</v>
      </c>
      <c r="I7" s="9">
        <v>3</v>
      </c>
    </row>
    <row r="8" spans="1:10">
      <c r="A8" s="9">
        <v>2016</v>
      </c>
      <c r="B8" s="9">
        <f t="shared" si="0"/>
        <v>2002</v>
      </c>
      <c r="E8"/>
      <c r="F8"/>
      <c r="G8" s="3" t="s">
        <v>139</v>
      </c>
      <c r="H8" s="85">
        <v>13</v>
      </c>
      <c r="I8" s="9">
        <v>3</v>
      </c>
    </row>
    <row r="9" spans="1:10">
      <c r="B9" s="9">
        <f t="shared" si="0"/>
        <v>2003</v>
      </c>
      <c r="E9"/>
      <c r="F9"/>
      <c r="G9" s="3" t="s">
        <v>140</v>
      </c>
      <c r="H9" s="85">
        <v>15</v>
      </c>
      <c r="I9" s="9">
        <v>1</v>
      </c>
    </row>
    <row r="10" spans="1:10">
      <c r="B10" s="9">
        <f t="shared" si="0"/>
        <v>2004</v>
      </c>
      <c r="E10"/>
      <c r="F10"/>
      <c r="G10" s="3" t="s">
        <v>141</v>
      </c>
      <c r="H10" s="85">
        <v>17</v>
      </c>
      <c r="I10" s="9">
        <v>3</v>
      </c>
    </row>
    <row r="11" spans="1:10">
      <c r="B11" s="9">
        <f t="shared" si="0"/>
        <v>2005</v>
      </c>
      <c r="E11"/>
      <c r="F11"/>
      <c r="G11" s="3" t="s">
        <v>142</v>
      </c>
      <c r="H11" s="85">
        <v>19</v>
      </c>
      <c r="I11" s="9">
        <v>3</v>
      </c>
    </row>
    <row r="12" spans="1:10">
      <c r="B12" s="9">
        <f t="shared" si="0"/>
        <v>2006</v>
      </c>
      <c r="G12" s="3" t="s">
        <v>143</v>
      </c>
      <c r="H12" s="85">
        <v>21</v>
      </c>
      <c r="I12" s="9">
        <v>3</v>
      </c>
    </row>
    <row r="13" spans="1:10">
      <c r="B13" s="9">
        <f t="shared" si="0"/>
        <v>2007</v>
      </c>
      <c r="G13" s="3" t="s">
        <v>144</v>
      </c>
      <c r="H13" s="85">
        <v>23</v>
      </c>
      <c r="I13" s="9">
        <v>3</v>
      </c>
    </row>
    <row r="14" spans="1:10">
      <c r="B14" s="9">
        <f t="shared" si="0"/>
        <v>2008</v>
      </c>
      <c r="G14" s="3" t="s">
        <v>145</v>
      </c>
      <c r="H14" s="85">
        <v>25</v>
      </c>
      <c r="I14" s="9">
        <v>3</v>
      </c>
    </row>
    <row r="15" spans="1:10">
      <c r="B15" s="9">
        <f t="shared" si="0"/>
        <v>2009</v>
      </c>
      <c r="G15" s="3" t="s">
        <v>146</v>
      </c>
      <c r="H15" s="85">
        <v>27</v>
      </c>
      <c r="I15" s="9">
        <v>3</v>
      </c>
    </row>
    <row r="16" spans="1:10">
      <c r="B16" s="9">
        <f>B15+1</f>
        <v>2010</v>
      </c>
      <c r="G16" s="3" t="s">
        <v>147</v>
      </c>
      <c r="H16" s="85">
        <v>29</v>
      </c>
      <c r="I16" s="9">
        <v>3</v>
      </c>
    </row>
    <row r="17" spans="2:9">
      <c r="B17" s="9">
        <f t="shared" si="0"/>
        <v>2011</v>
      </c>
      <c r="G17" s="3" t="s">
        <v>148</v>
      </c>
      <c r="H17" s="85">
        <v>31</v>
      </c>
      <c r="I17" s="9">
        <v>3</v>
      </c>
    </row>
    <row r="18" spans="2:9">
      <c r="B18" s="9">
        <f t="shared" si="0"/>
        <v>2012</v>
      </c>
      <c r="G18" s="3" t="s">
        <v>149</v>
      </c>
      <c r="H18" s="85">
        <v>33</v>
      </c>
      <c r="I18" s="9">
        <v>3</v>
      </c>
    </row>
    <row r="19" spans="2:9">
      <c r="B19" s="9">
        <f t="shared" si="0"/>
        <v>2013</v>
      </c>
      <c r="G19" s="3" t="s">
        <v>150</v>
      </c>
      <c r="H19" s="85">
        <v>35</v>
      </c>
      <c r="I19" s="9">
        <v>3</v>
      </c>
    </row>
    <row r="20" spans="2:9">
      <c r="B20" s="9">
        <f t="shared" si="0"/>
        <v>2014</v>
      </c>
      <c r="G20" s="3" t="s">
        <v>151</v>
      </c>
      <c r="H20" s="85">
        <v>37</v>
      </c>
      <c r="I20" s="9">
        <v>3</v>
      </c>
    </row>
    <row r="21" spans="2:9">
      <c r="B21" s="9">
        <f t="shared" si="0"/>
        <v>2015</v>
      </c>
      <c r="G21" s="3" t="s">
        <v>152</v>
      </c>
      <c r="H21" s="85">
        <v>39</v>
      </c>
      <c r="I21" s="9">
        <v>3</v>
      </c>
    </row>
    <row r="22" spans="2:9">
      <c r="B22" s="9">
        <f t="shared" si="0"/>
        <v>2016</v>
      </c>
      <c r="G22" s="3" t="s">
        <v>153</v>
      </c>
      <c r="H22" s="85">
        <v>43</v>
      </c>
      <c r="I22" s="9">
        <v>3</v>
      </c>
    </row>
    <row r="23" spans="2:9">
      <c r="B23" s="9">
        <f t="shared" si="0"/>
        <v>2017</v>
      </c>
      <c r="G23" s="3" t="s">
        <v>154</v>
      </c>
      <c r="H23" s="85">
        <v>45</v>
      </c>
      <c r="I23" s="9">
        <v>3</v>
      </c>
    </row>
    <row r="24" spans="2:9">
      <c r="B24" s="9">
        <f t="shared" si="0"/>
        <v>2018</v>
      </c>
      <c r="G24" s="3" t="s">
        <v>155</v>
      </c>
      <c r="H24" s="85">
        <v>47</v>
      </c>
      <c r="I24" s="9">
        <v>3</v>
      </c>
    </row>
    <row r="25" spans="2:9">
      <c r="B25" s="9">
        <f t="shared" si="0"/>
        <v>2019</v>
      </c>
      <c r="G25" s="3" t="s">
        <v>156</v>
      </c>
      <c r="H25" s="85">
        <v>49</v>
      </c>
      <c r="I25" s="9">
        <v>3</v>
      </c>
    </row>
    <row r="26" spans="2:9">
      <c r="B26" s="9">
        <f>B25+1</f>
        <v>2020</v>
      </c>
      <c r="G26" s="3" t="s">
        <v>157</v>
      </c>
      <c r="H26" s="85">
        <v>51</v>
      </c>
      <c r="I26" s="9">
        <v>3</v>
      </c>
    </row>
    <row r="27" spans="2:9">
      <c r="G27" s="3" t="s">
        <v>158</v>
      </c>
      <c r="H27" s="85">
        <v>53</v>
      </c>
      <c r="I27" s="9">
        <v>3</v>
      </c>
    </row>
    <row r="28" spans="2:9">
      <c r="G28" s="3" t="s">
        <v>159</v>
      </c>
      <c r="H28" s="85">
        <v>55</v>
      </c>
      <c r="I28" s="9">
        <v>3</v>
      </c>
    </row>
    <row r="29" spans="2:9">
      <c r="G29" s="3" t="s">
        <v>160</v>
      </c>
      <c r="H29" s="85">
        <v>57</v>
      </c>
      <c r="I29" s="9">
        <v>2</v>
      </c>
    </row>
    <row r="30" spans="2:9">
      <c r="G30" s="3" t="s">
        <v>161</v>
      </c>
      <c r="H30" s="85">
        <v>59</v>
      </c>
      <c r="I30" s="9">
        <v>3</v>
      </c>
    </row>
    <row r="31" spans="2:9">
      <c r="G31" s="3" t="s">
        <v>162</v>
      </c>
      <c r="H31" s="85">
        <v>61</v>
      </c>
      <c r="I31" s="9">
        <v>3</v>
      </c>
    </row>
    <row r="32" spans="2:9">
      <c r="G32" s="3" t="s">
        <v>163</v>
      </c>
      <c r="H32" s="85">
        <v>63</v>
      </c>
      <c r="I32" s="9">
        <v>1</v>
      </c>
    </row>
    <row r="33" spans="7:9">
      <c r="G33" s="3" t="s">
        <v>164</v>
      </c>
      <c r="H33" s="85">
        <v>65</v>
      </c>
      <c r="I33" s="9">
        <v>3</v>
      </c>
    </row>
    <row r="34" spans="7:9">
      <c r="G34" s="3" t="s">
        <v>165</v>
      </c>
      <c r="H34" s="85">
        <v>67</v>
      </c>
      <c r="I34" s="9">
        <v>1</v>
      </c>
    </row>
    <row r="35" spans="7:9">
      <c r="G35" s="3" t="s">
        <v>166</v>
      </c>
      <c r="H35" s="85">
        <v>69</v>
      </c>
      <c r="I35" s="9">
        <v>3</v>
      </c>
    </row>
    <row r="36" spans="7:9">
      <c r="G36" s="3" t="s">
        <v>167</v>
      </c>
      <c r="H36" s="85">
        <v>71</v>
      </c>
      <c r="I36" s="9">
        <v>3</v>
      </c>
    </row>
    <row r="37" spans="7:9">
      <c r="G37" s="3" t="s">
        <v>168</v>
      </c>
      <c r="H37" s="85">
        <v>73</v>
      </c>
      <c r="I37" s="9">
        <v>3</v>
      </c>
    </row>
    <row r="38" spans="7:9">
      <c r="G38" s="3" t="s">
        <v>169</v>
      </c>
      <c r="H38" s="85">
        <v>75</v>
      </c>
      <c r="I38" s="9">
        <v>3</v>
      </c>
    </row>
    <row r="39" spans="7:9">
      <c r="G39" s="3" t="s">
        <v>170</v>
      </c>
      <c r="H39" s="85">
        <v>77</v>
      </c>
      <c r="I39" s="9">
        <v>2</v>
      </c>
    </row>
    <row r="40" spans="7:9">
      <c r="G40" s="3" t="s">
        <v>171</v>
      </c>
      <c r="H40" s="85">
        <v>79</v>
      </c>
      <c r="I40" s="9">
        <v>3</v>
      </c>
    </row>
    <row r="41" spans="7:9">
      <c r="G41" s="3" t="s">
        <v>172</v>
      </c>
      <c r="H41" s="85">
        <v>81</v>
      </c>
      <c r="I41" s="9">
        <v>3</v>
      </c>
    </row>
    <row r="42" spans="7:9">
      <c r="G42" s="3" t="s">
        <v>173</v>
      </c>
      <c r="H42" s="85">
        <v>83</v>
      </c>
      <c r="I42" s="9">
        <v>3</v>
      </c>
    </row>
    <row r="43" spans="7:9">
      <c r="G43" s="3" t="s">
        <v>174</v>
      </c>
      <c r="H43" s="85">
        <v>85</v>
      </c>
      <c r="I43" s="9">
        <v>3</v>
      </c>
    </row>
    <row r="44" spans="7:9">
      <c r="G44" s="3" t="s">
        <v>175</v>
      </c>
      <c r="H44" s="85">
        <v>87</v>
      </c>
      <c r="I44" s="9">
        <v>3</v>
      </c>
    </row>
    <row r="45" spans="7:9">
      <c r="G45" s="3" t="s">
        <v>176</v>
      </c>
      <c r="H45" s="85">
        <v>89</v>
      </c>
      <c r="I45" s="9">
        <v>1</v>
      </c>
    </row>
    <row r="46" spans="7:9">
      <c r="G46" s="3" t="s">
        <v>177</v>
      </c>
      <c r="H46" s="85">
        <v>91</v>
      </c>
      <c r="I46" s="9">
        <v>3</v>
      </c>
    </row>
    <row r="47" spans="7:9">
      <c r="G47" s="3" t="s">
        <v>178</v>
      </c>
      <c r="H47" s="85">
        <v>93</v>
      </c>
      <c r="I47" s="9">
        <v>3</v>
      </c>
    </row>
    <row r="48" spans="7:9">
      <c r="G48" s="3" t="s">
        <v>179</v>
      </c>
      <c r="H48" s="85">
        <v>95</v>
      </c>
      <c r="I48" s="9">
        <v>3</v>
      </c>
    </row>
    <row r="49" spans="7:9">
      <c r="G49" s="3" t="s">
        <v>180</v>
      </c>
      <c r="H49" s="85">
        <v>97</v>
      </c>
      <c r="I49" s="9">
        <v>2</v>
      </c>
    </row>
    <row r="50" spans="7:9">
      <c r="G50" s="3" t="s">
        <v>181</v>
      </c>
      <c r="H50" s="85">
        <v>99</v>
      </c>
      <c r="I50" s="9">
        <v>3</v>
      </c>
    </row>
    <row r="51" spans="7:9">
      <c r="G51" s="3" t="s">
        <v>182</v>
      </c>
      <c r="H51" s="85">
        <v>101</v>
      </c>
      <c r="I51" s="9">
        <v>3</v>
      </c>
    </row>
    <row r="52" spans="7:9">
      <c r="G52" s="3" t="s">
        <v>183</v>
      </c>
      <c r="H52" s="85">
        <v>103</v>
      </c>
      <c r="I52" s="9">
        <v>3</v>
      </c>
    </row>
    <row r="53" spans="7:9">
      <c r="G53" s="3" t="s">
        <v>184</v>
      </c>
      <c r="H53" s="85">
        <v>105</v>
      </c>
      <c r="I53" s="9">
        <v>3</v>
      </c>
    </row>
    <row r="54" spans="7:9">
      <c r="G54" s="3" t="s">
        <v>185</v>
      </c>
      <c r="H54" s="85">
        <v>107</v>
      </c>
      <c r="I54" s="9">
        <v>3</v>
      </c>
    </row>
    <row r="55" spans="7:9">
      <c r="G55" s="3" t="s">
        <v>186</v>
      </c>
      <c r="H55" s="85">
        <v>109</v>
      </c>
      <c r="I55" s="9">
        <v>3</v>
      </c>
    </row>
    <row r="56" spans="7:9">
      <c r="G56" s="3" t="s">
        <v>187</v>
      </c>
      <c r="H56" s="85">
        <v>111</v>
      </c>
      <c r="I56" s="9">
        <v>3</v>
      </c>
    </row>
    <row r="57" spans="7:9">
      <c r="G57" s="3" t="s">
        <v>188</v>
      </c>
      <c r="H57" s="85">
        <v>113</v>
      </c>
      <c r="I57" s="9">
        <v>2</v>
      </c>
    </row>
    <row r="58" spans="7:9">
      <c r="G58" s="3" t="s">
        <v>189</v>
      </c>
      <c r="H58" s="85">
        <v>115</v>
      </c>
      <c r="I58" s="9">
        <v>3</v>
      </c>
    </row>
    <row r="59" spans="7:9">
      <c r="G59" s="3" t="s">
        <v>190</v>
      </c>
      <c r="H59" s="85">
        <v>117</v>
      </c>
      <c r="I59" s="9">
        <v>2</v>
      </c>
    </row>
    <row r="60" spans="7:9">
      <c r="G60" s="3" t="s">
        <v>191</v>
      </c>
      <c r="H60" s="85">
        <v>119</v>
      </c>
      <c r="I60" s="9">
        <v>3</v>
      </c>
    </row>
    <row r="61" spans="7:9">
      <c r="G61" s="3" t="s">
        <v>192</v>
      </c>
      <c r="H61" s="85">
        <v>121</v>
      </c>
      <c r="I61" s="9">
        <v>1</v>
      </c>
    </row>
    <row r="62" spans="7:9">
      <c r="G62" s="3" t="s">
        <v>193</v>
      </c>
      <c r="H62" s="85">
        <v>123</v>
      </c>
      <c r="I62" s="9">
        <v>3</v>
      </c>
    </row>
    <row r="63" spans="7:9">
      <c r="G63" s="3" t="s">
        <v>194</v>
      </c>
      <c r="H63" s="85">
        <v>125</v>
      </c>
      <c r="I63" s="9">
        <v>3</v>
      </c>
    </row>
    <row r="64" spans="7:9">
      <c r="G64" s="3" t="s">
        <v>195</v>
      </c>
      <c r="H64" s="85">
        <v>127</v>
      </c>
      <c r="I64" s="9">
        <v>3</v>
      </c>
    </row>
    <row r="65" spans="7:9">
      <c r="G65" s="3" t="s">
        <v>196</v>
      </c>
      <c r="H65" s="85">
        <v>129</v>
      </c>
      <c r="I65" s="9">
        <v>3</v>
      </c>
    </row>
    <row r="66" spans="7:9">
      <c r="G66" s="3" t="s">
        <v>197</v>
      </c>
      <c r="H66" s="85">
        <v>131</v>
      </c>
      <c r="I66" s="9">
        <v>3</v>
      </c>
    </row>
    <row r="67" spans="7:9">
      <c r="G67" s="3" t="s">
        <v>198</v>
      </c>
      <c r="H67" s="85">
        <v>133</v>
      </c>
      <c r="I67" s="9">
        <v>3</v>
      </c>
    </row>
    <row r="68" spans="7:9">
      <c r="G68" s="3" t="s">
        <v>199</v>
      </c>
      <c r="H68" s="85">
        <v>135</v>
      </c>
      <c r="I68" s="9">
        <v>1</v>
      </c>
    </row>
    <row r="69" spans="7:9">
      <c r="G69" s="3" t="s">
        <v>200</v>
      </c>
      <c r="H69" s="85">
        <v>137</v>
      </c>
      <c r="I69" s="9">
        <v>3</v>
      </c>
    </row>
    <row r="70" spans="7:9">
      <c r="G70" s="3" t="s">
        <v>201</v>
      </c>
      <c r="H70" s="85">
        <v>139</v>
      </c>
      <c r="I70" s="9">
        <v>3</v>
      </c>
    </row>
    <row r="71" spans="7:9">
      <c r="G71" s="3" t="s">
        <v>202</v>
      </c>
      <c r="H71" s="85">
        <v>141</v>
      </c>
      <c r="I71" s="9">
        <v>3</v>
      </c>
    </row>
    <row r="72" spans="7:9">
      <c r="G72" s="3" t="s">
        <v>203</v>
      </c>
      <c r="H72" s="85">
        <v>143</v>
      </c>
      <c r="I72" s="9">
        <v>3</v>
      </c>
    </row>
    <row r="73" spans="7:9">
      <c r="G73" s="3" t="s">
        <v>204</v>
      </c>
      <c r="H73" s="85">
        <v>145</v>
      </c>
      <c r="I73" s="9">
        <v>3</v>
      </c>
    </row>
    <row r="74" spans="7:9">
      <c r="G74" s="3" t="s">
        <v>205</v>
      </c>
      <c r="H74" s="85">
        <v>147</v>
      </c>
      <c r="I74" s="9">
        <v>3</v>
      </c>
    </row>
    <row r="75" spans="7:9">
      <c r="G75" s="3" t="s">
        <v>206</v>
      </c>
      <c r="H75" s="85">
        <v>149</v>
      </c>
      <c r="I75" s="9">
        <v>3</v>
      </c>
    </row>
    <row r="76" spans="7:9">
      <c r="G76" s="3" t="s">
        <v>207</v>
      </c>
      <c r="H76" s="85">
        <v>151</v>
      </c>
      <c r="I76" s="9">
        <v>1</v>
      </c>
    </row>
    <row r="77" spans="7:9">
      <c r="G77" s="3" t="s">
        <v>208</v>
      </c>
      <c r="H77" s="85">
        <v>153</v>
      </c>
      <c r="I77" s="9">
        <v>3</v>
      </c>
    </row>
    <row r="78" spans="7:9">
      <c r="G78" s="3" t="s">
        <v>209</v>
      </c>
      <c r="H78" s="85">
        <v>155</v>
      </c>
      <c r="I78" s="9">
        <v>3</v>
      </c>
    </row>
    <row r="79" spans="7:9">
      <c r="G79" s="3" t="s">
        <v>210</v>
      </c>
      <c r="H79" s="85">
        <v>157</v>
      </c>
      <c r="I79" s="9">
        <v>3</v>
      </c>
    </row>
    <row r="80" spans="7:9">
      <c r="G80" s="3" t="s">
        <v>211</v>
      </c>
      <c r="H80" s="85">
        <v>159</v>
      </c>
      <c r="I80" s="9">
        <v>3</v>
      </c>
    </row>
    <row r="81" spans="7:9">
      <c r="G81" s="3" t="s">
        <v>212</v>
      </c>
      <c r="H81" s="85">
        <v>161</v>
      </c>
      <c r="I81" s="9">
        <v>3</v>
      </c>
    </row>
    <row r="82" spans="7:9">
      <c r="G82" s="3" t="s">
        <v>213</v>
      </c>
      <c r="H82" s="85">
        <v>163</v>
      </c>
      <c r="I82" s="9">
        <v>3</v>
      </c>
    </row>
    <row r="83" spans="7:9">
      <c r="G83" s="3" t="s">
        <v>214</v>
      </c>
      <c r="H83" s="85">
        <v>165</v>
      </c>
      <c r="I83" s="9">
        <v>3</v>
      </c>
    </row>
    <row r="84" spans="7:9">
      <c r="G84" s="3" t="s">
        <v>215</v>
      </c>
      <c r="H84" s="85">
        <v>167</v>
      </c>
      <c r="I84" s="9">
        <v>3</v>
      </c>
    </row>
    <row r="85" spans="7:9">
      <c r="G85" s="3" t="s">
        <v>216</v>
      </c>
      <c r="H85" s="85">
        <v>169</v>
      </c>
      <c r="I85" s="9">
        <v>3</v>
      </c>
    </row>
    <row r="86" spans="7:9">
      <c r="G86" s="3" t="s">
        <v>217</v>
      </c>
      <c r="H86" s="85">
        <v>171</v>
      </c>
      <c r="I86" s="9">
        <v>3</v>
      </c>
    </row>
    <row r="87" spans="7:9">
      <c r="G87" s="3" t="s">
        <v>218</v>
      </c>
      <c r="H87" s="85">
        <v>173</v>
      </c>
      <c r="I87" s="9">
        <v>3</v>
      </c>
    </row>
    <row r="88" spans="7:9">
      <c r="G88" s="3" t="s">
        <v>219</v>
      </c>
      <c r="H88" s="85">
        <v>175</v>
      </c>
      <c r="I88" s="9">
        <v>3</v>
      </c>
    </row>
    <row r="89" spans="7:9">
      <c r="G89" s="3" t="s">
        <v>220</v>
      </c>
      <c r="H89" s="85">
        <v>177</v>
      </c>
      <c r="I89" s="9">
        <v>3</v>
      </c>
    </row>
    <row r="90" spans="7:9">
      <c r="G90" s="3" t="s">
        <v>221</v>
      </c>
      <c r="H90" s="85">
        <v>179</v>
      </c>
      <c r="I90" s="9">
        <v>3</v>
      </c>
    </row>
    <row r="91" spans="7:9">
      <c r="G91" s="3" t="s">
        <v>222</v>
      </c>
      <c r="H91" s="85">
        <v>181</v>
      </c>
      <c r="I91" s="9">
        <v>3</v>
      </c>
    </row>
    <row r="92" spans="7:9">
      <c r="G92" s="3" t="s">
        <v>223</v>
      </c>
      <c r="H92" s="85">
        <v>183</v>
      </c>
      <c r="I92" s="9">
        <v>3</v>
      </c>
    </row>
    <row r="93" spans="7:9">
      <c r="G93" s="3" t="s">
        <v>224</v>
      </c>
      <c r="H93" s="85">
        <v>185</v>
      </c>
      <c r="I93" s="9">
        <v>3</v>
      </c>
    </row>
    <row r="94" spans="7:9">
      <c r="G94" s="3" t="s">
        <v>225</v>
      </c>
      <c r="H94" s="85">
        <v>187</v>
      </c>
      <c r="I94" s="9">
        <v>3</v>
      </c>
    </row>
    <row r="95" spans="7:9">
      <c r="G95" s="3" t="s">
        <v>226</v>
      </c>
      <c r="H95" s="85">
        <v>193</v>
      </c>
      <c r="I95" s="9">
        <v>3</v>
      </c>
    </row>
    <row r="96" spans="7:9">
      <c r="G96" s="3" t="s">
        <v>227</v>
      </c>
      <c r="H96" s="85">
        <v>195</v>
      </c>
      <c r="I96" s="9">
        <v>3</v>
      </c>
    </row>
    <row r="97" spans="7:9">
      <c r="G97" s="3" t="s">
        <v>228</v>
      </c>
      <c r="H97" s="85">
        <v>197</v>
      </c>
      <c r="I97" s="9">
        <v>3</v>
      </c>
    </row>
    <row r="98" spans="7:9">
      <c r="G98" s="3" t="s">
        <v>229</v>
      </c>
      <c r="H98" s="85">
        <v>189</v>
      </c>
      <c r="I98" s="9">
        <v>3</v>
      </c>
    </row>
    <row r="99" spans="7:9">
      <c r="G99" s="3" t="s">
        <v>230</v>
      </c>
      <c r="H99" s="85">
        <v>191</v>
      </c>
      <c r="I99" s="9">
        <v>3</v>
      </c>
    </row>
    <row r="100" spans="7:9">
      <c r="G100" s="3" t="s">
        <v>231</v>
      </c>
      <c r="H100" s="85">
        <v>199</v>
      </c>
      <c r="I100" s="9">
        <v>3</v>
      </c>
    </row>
    <row r="101" spans="7:9">
      <c r="G101" s="3" t="s">
        <v>232</v>
      </c>
      <c r="H101" s="85">
        <v>201</v>
      </c>
      <c r="I101" s="9">
        <v>3</v>
      </c>
    </row>
    <row r="102" spans="7:9">
      <c r="G102" s="3" t="s">
        <v>233</v>
      </c>
      <c r="H102" s="85">
        <v>205</v>
      </c>
      <c r="I102" s="9">
        <v>3</v>
      </c>
    </row>
    <row r="103" spans="7:9">
      <c r="G103" s="3" t="s">
        <v>234</v>
      </c>
      <c r="H103" s="85">
        <v>207</v>
      </c>
      <c r="I103" s="9">
        <v>3</v>
      </c>
    </row>
    <row r="104" spans="7:9">
      <c r="G104" s="3" t="s">
        <v>235</v>
      </c>
      <c r="H104" s="85">
        <v>209</v>
      </c>
      <c r="I104" s="9">
        <v>3</v>
      </c>
    </row>
    <row r="105" spans="7:9">
      <c r="G105" s="3" t="s">
        <v>236</v>
      </c>
      <c r="H105" s="85">
        <v>211</v>
      </c>
      <c r="I105" s="9">
        <v>3</v>
      </c>
    </row>
    <row r="106" spans="7:9">
      <c r="G106" s="3" t="s">
        <v>237</v>
      </c>
      <c r="H106" s="85">
        <v>213</v>
      </c>
      <c r="I106" s="9">
        <v>3</v>
      </c>
    </row>
    <row r="107" spans="7:9">
      <c r="G107" s="3" t="s">
        <v>238</v>
      </c>
      <c r="H107" s="85">
        <v>215</v>
      </c>
      <c r="I107" s="9">
        <v>3</v>
      </c>
    </row>
    <row r="108" spans="7:9">
      <c r="G108" s="3" t="s">
        <v>239</v>
      </c>
      <c r="H108" s="85">
        <v>217</v>
      </c>
      <c r="I108" s="9">
        <v>2</v>
      </c>
    </row>
    <row r="109" spans="7:9">
      <c r="G109" s="3" t="s">
        <v>240</v>
      </c>
      <c r="H109" s="85">
        <v>219</v>
      </c>
      <c r="I109" s="9">
        <v>3</v>
      </c>
    </row>
    <row r="110" spans="7:9">
      <c r="G110" s="3" t="s">
        <v>241</v>
      </c>
      <c r="H110" s="85">
        <v>221</v>
      </c>
      <c r="I110" s="9">
        <v>3</v>
      </c>
    </row>
    <row r="111" spans="7:9">
      <c r="G111" s="3" t="s">
        <v>242</v>
      </c>
      <c r="H111" s="85">
        <v>223</v>
      </c>
      <c r="I111" s="9">
        <v>2</v>
      </c>
    </row>
    <row r="112" spans="7:9">
      <c r="G112" s="3" t="s">
        <v>243</v>
      </c>
      <c r="H112" s="85">
        <v>225</v>
      </c>
      <c r="I112" s="9">
        <v>3</v>
      </c>
    </row>
    <row r="113" spans="7:9">
      <c r="G113" s="3" t="s">
        <v>244</v>
      </c>
      <c r="H113" s="85">
        <v>227</v>
      </c>
      <c r="I113" s="9">
        <v>3</v>
      </c>
    </row>
    <row r="114" spans="7:9">
      <c r="G114" s="3" t="s">
        <v>245</v>
      </c>
      <c r="H114" s="85">
        <v>229</v>
      </c>
      <c r="I114" s="9">
        <v>3</v>
      </c>
    </row>
    <row r="115" spans="7:9">
      <c r="G115" s="3" t="s">
        <v>246</v>
      </c>
      <c r="H115" s="85">
        <v>231</v>
      </c>
      <c r="I115" s="9">
        <v>3</v>
      </c>
    </row>
    <row r="116" spans="7:9">
      <c r="G116" s="3" t="s">
        <v>247</v>
      </c>
      <c r="H116" s="85">
        <v>233</v>
      </c>
      <c r="I116" s="9">
        <v>3</v>
      </c>
    </row>
    <row r="117" spans="7:9">
      <c r="G117" s="3" t="s">
        <v>248</v>
      </c>
      <c r="H117" s="85">
        <v>235</v>
      </c>
      <c r="I117" s="9">
        <v>3</v>
      </c>
    </row>
    <row r="118" spans="7:9">
      <c r="G118" s="3" t="s">
        <v>249</v>
      </c>
      <c r="H118" s="85">
        <v>237</v>
      </c>
      <c r="I118" s="9">
        <v>3</v>
      </c>
    </row>
    <row r="119" spans="7:9">
      <c r="G119" s="3" t="s">
        <v>250</v>
      </c>
      <c r="H119" s="85">
        <v>239</v>
      </c>
      <c r="I119" s="9">
        <v>3</v>
      </c>
    </row>
    <row r="120" spans="7:9">
      <c r="G120" s="3" t="s">
        <v>251</v>
      </c>
      <c r="H120" s="85">
        <v>241</v>
      </c>
      <c r="I120" s="9">
        <v>3</v>
      </c>
    </row>
    <row r="121" spans="7:9">
      <c r="G121" s="3" t="s">
        <v>252</v>
      </c>
      <c r="H121" s="85">
        <v>243</v>
      </c>
      <c r="I121" s="9">
        <v>3</v>
      </c>
    </row>
    <row r="122" spans="7:9">
      <c r="G122" s="3" t="s">
        <v>253</v>
      </c>
      <c r="H122" s="85">
        <v>245</v>
      </c>
      <c r="I122" s="9">
        <v>3</v>
      </c>
    </row>
    <row r="123" spans="7:9">
      <c r="G123" s="3" t="s">
        <v>254</v>
      </c>
      <c r="H123" s="85">
        <v>247</v>
      </c>
      <c r="I123" s="9">
        <v>2</v>
      </c>
    </row>
    <row r="124" spans="7:9">
      <c r="G124" s="3" t="s">
        <v>255</v>
      </c>
      <c r="H124" s="85">
        <v>249</v>
      </c>
      <c r="I124" s="9">
        <v>3</v>
      </c>
    </row>
    <row r="125" spans="7:9">
      <c r="G125" s="3" t="s">
        <v>256</v>
      </c>
      <c r="H125" s="85">
        <v>251</v>
      </c>
      <c r="I125" s="9">
        <v>3</v>
      </c>
    </row>
    <row r="126" spans="7:9">
      <c r="G126" s="3" t="s">
        <v>257</v>
      </c>
      <c r="H126" s="85">
        <v>253</v>
      </c>
      <c r="I126" s="9">
        <v>3</v>
      </c>
    </row>
    <row r="127" spans="7:9">
      <c r="G127" s="3" t="s">
        <v>258</v>
      </c>
      <c r="H127" s="85">
        <v>255</v>
      </c>
      <c r="I127" s="9">
        <v>3</v>
      </c>
    </row>
    <row r="128" spans="7:9">
      <c r="G128" s="3" t="s">
        <v>259</v>
      </c>
      <c r="H128" s="85">
        <v>257</v>
      </c>
      <c r="I128" s="9">
        <v>3</v>
      </c>
    </row>
    <row r="129" spans="7:9">
      <c r="G129" s="3" t="s">
        <v>260</v>
      </c>
      <c r="H129" s="85">
        <v>259</v>
      </c>
      <c r="I129" s="9">
        <v>3</v>
      </c>
    </row>
    <row r="130" spans="7:9">
      <c r="G130" s="3" t="s">
        <v>261</v>
      </c>
      <c r="H130" s="85">
        <v>261</v>
      </c>
      <c r="I130" s="9">
        <v>3</v>
      </c>
    </row>
    <row r="131" spans="7:9">
      <c r="G131" s="3" t="s">
        <v>262</v>
      </c>
      <c r="H131" s="85">
        <v>263</v>
      </c>
      <c r="I131" s="9">
        <v>3</v>
      </c>
    </row>
    <row r="132" spans="7:9">
      <c r="G132" s="3" t="s">
        <v>263</v>
      </c>
      <c r="H132" s="85">
        <v>265</v>
      </c>
      <c r="I132" s="9">
        <v>3</v>
      </c>
    </row>
    <row r="133" spans="7:9">
      <c r="G133" s="3" t="s">
        <v>264</v>
      </c>
      <c r="H133" s="85">
        <v>267</v>
      </c>
      <c r="I133" s="9">
        <v>3</v>
      </c>
    </row>
    <row r="134" spans="7:9">
      <c r="G134" s="3" t="s">
        <v>265</v>
      </c>
      <c r="H134" s="85">
        <v>269</v>
      </c>
      <c r="I134" s="9">
        <v>3</v>
      </c>
    </row>
    <row r="135" spans="7:9">
      <c r="G135" s="3" t="s">
        <v>266</v>
      </c>
      <c r="H135" s="85">
        <v>271</v>
      </c>
      <c r="I135" s="9">
        <v>3</v>
      </c>
    </row>
    <row r="136" spans="7:9">
      <c r="G136" s="3" t="s">
        <v>267</v>
      </c>
      <c r="H136" s="85">
        <v>273</v>
      </c>
      <c r="I136" s="9">
        <v>3</v>
      </c>
    </row>
    <row r="137" spans="7:9">
      <c r="G137" s="3" t="s">
        <v>268</v>
      </c>
      <c r="H137" s="85">
        <v>275</v>
      </c>
      <c r="I137" s="9">
        <v>3</v>
      </c>
    </row>
    <row r="138" spans="7:9">
      <c r="G138" s="3" t="s">
        <v>269</v>
      </c>
      <c r="H138" s="85">
        <v>277</v>
      </c>
      <c r="I138" s="9">
        <v>3</v>
      </c>
    </row>
    <row r="139" spans="7:9">
      <c r="G139" s="3" t="s">
        <v>270</v>
      </c>
      <c r="H139" s="85">
        <v>279</v>
      </c>
      <c r="I139" s="9">
        <v>3</v>
      </c>
    </row>
    <row r="140" spans="7:9">
      <c r="G140" s="3" t="s">
        <v>271</v>
      </c>
      <c r="H140" s="85">
        <v>281</v>
      </c>
      <c r="I140" s="9">
        <v>3</v>
      </c>
    </row>
    <row r="141" spans="7:9">
      <c r="G141" s="3" t="s">
        <v>272</v>
      </c>
      <c r="H141" s="85">
        <v>283</v>
      </c>
      <c r="I141" s="9">
        <v>3</v>
      </c>
    </row>
    <row r="142" spans="7:9">
      <c r="G142" s="3" t="s">
        <v>273</v>
      </c>
      <c r="H142" s="85">
        <v>285</v>
      </c>
      <c r="I142" s="9">
        <v>3</v>
      </c>
    </row>
    <row r="143" spans="7:9">
      <c r="G143" s="3" t="s">
        <v>274</v>
      </c>
      <c r="H143" s="85">
        <v>287</v>
      </c>
      <c r="I143" s="9">
        <v>3</v>
      </c>
    </row>
    <row r="144" spans="7:9">
      <c r="G144" s="3" t="s">
        <v>275</v>
      </c>
      <c r="H144" s="85">
        <v>289</v>
      </c>
      <c r="I144" s="9">
        <v>3</v>
      </c>
    </row>
    <row r="145" spans="7:9">
      <c r="G145" s="3" t="s">
        <v>276</v>
      </c>
      <c r="H145" s="85">
        <v>291</v>
      </c>
      <c r="I145" s="9">
        <v>3</v>
      </c>
    </row>
    <row r="146" spans="7:9">
      <c r="G146" s="3" t="s">
        <v>277</v>
      </c>
      <c r="H146" s="85">
        <v>293</v>
      </c>
      <c r="I146" s="9">
        <v>3</v>
      </c>
    </row>
    <row r="147" spans="7:9">
      <c r="G147" s="3" t="s">
        <v>278</v>
      </c>
      <c r="H147" s="85">
        <v>295</v>
      </c>
      <c r="I147" s="9">
        <v>3</v>
      </c>
    </row>
    <row r="148" spans="7:9">
      <c r="G148" s="3" t="s">
        <v>279</v>
      </c>
      <c r="H148" s="85">
        <v>297</v>
      </c>
      <c r="I148" s="9">
        <v>3</v>
      </c>
    </row>
    <row r="149" spans="7:9">
      <c r="G149" s="3" t="s">
        <v>280</v>
      </c>
      <c r="H149" s="85">
        <v>299</v>
      </c>
      <c r="I149" s="9">
        <v>3</v>
      </c>
    </row>
    <row r="150" spans="7:9">
      <c r="G150" s="3" t="s">
        <v>281</v>
      </c>
      <c r="H150" s="85">
        <v>301</v>
      </c>
      <c r="I150" s="9">
        <v>3</v>
      </c>
    </row>
    <row r="151" spans="7:9">
      <c r="G151" s="3" t="s">
        <v>282</v>
      </c>
      <c r="H151" s="85">
        <v>303</v>
      </c>
      <c r="I151" s="9">
        <v>3</v>
      </c>
    </row>
    <row r="152" spans="7:9">
      <c r="G152" s="3" t="s">
        <v>283</v>
      </c>
      <c r="H152" s="85">
        <v>305</v>
      </c>
      <c r="I152" s="9">
        <v>3</v>
      </c>
    </row>
    <row r="153" spans="7:9">
      <c r="G153" s="3" t="s">
        <v>284</v>
      </c>
      <c r="H153" s="85">
        <v>307</v>
      </c>
      <c r="I153" s="9">
        <v>3</v>
      </c>
    </row>
    <row r="154" spans="7:9">
      <c r="G154" s="3" t="s">
        <v>285</v>
      </c>
      <c r="H154" s="85">
        <v>309</v>
      </c>
      <c r="I154" s="9">
        <v>3</v>
      </c>
    </row>
    <row r="155" spans="7:9">
      <c r="G155" s="3" t="s">
        <v>286</v>
      </c>
      <c r="H155" s="85">
        <v>311</v>
      </c>
      <c r="I155" s="9">
        <v>3</v>
      </c>
    </row>
    <row r="156" spans="7:9">
      <c r="G156" s="3" t="s">
        <v>287</v>
      </c>
      <c r="H156" s="85">
        <v>313</v>
      </c>
      <c r="I156" s="9">
        <v>3</v>
      </c>
    </row>
    <row r="157" spans="7:9">
      <c r="G157" s="3" t="s">
        <v>288</v>
      </c>
      <c r="H157" s="85">
        <v>315</v>
      </c>
      <c r="I157" s="9">
        <v>3</v>
      </c>
    </row>
    <row r="158" spans="7:9">
      <c r="G158" s="3" t="s">
        <v>289</v>
      </c>
      <c r="H158" s="85">
        <v>317</v>
      </c>
      <c r="I158" s="9">
        <v>3</v>
      </c>
    </row>
    <row r="159" spans="7:9">
      <c r="G159" s="3" t="s">
        <v>290</v>
      </c>
      <c r="H159" s="85">
        <v>319</v>
      </c>
      <c r="I159" s="9">
        <v>3</v>
      </c>
    </row>
    <row r="160" spans="7:9">
      <c r="G160" s="3" t="s">
        <v>291</v>
      </c>
      <c r="H160" s="85">
        <v>321</v>
      </c>
      <c r="I160" s="9">
        <v>3</v>
      </c>
    </row>
    <row r="161" spans="8:8">
      <c r="H161" s="86"/>
    </row>
    <row r="162" spans="8:8">
      <c r="H162" s="86"/>
    </row>
    <row r="163" spans="8:8">
      <c r="H163" s="86"/>
    </row>
    <row r="164" spans="8:8">
      <c r="H164" s="86"/>
    </row>
    <row r="165" spans="8:8">
      <c r="H165" s="86"/>
    </row>
    <row r="166" spans="8:8">
      <c r="H166" s="86"/>
    </row>
    <row r="167" spans="8:8">
      <c r="H167" s="86"/>
    </row>
    <row r="168" spans="8:8">
      <c r="H168" s="86"/>
    </row>
    <row r="169" spans="8:8">
      <c r="H169" s="86"/>
    </row>
    <row r="170" spans="8:8">
      <c r="H170" s="86"/>
    </row>
    <row r="171" spans="8:8">
      <c r="H171" s="86"/>
    </row>
    <row r="172" spans="8:8">
      <c r="H172" s="86"/>
    </row>
    <row r="173" spans="8:8">
      <c r="H173" s="86"/>
    </row>
    <row r="174" spans="8:8">
      <c r="H174" s="86"/>
    </row>
    <row r="175" spans="8:8">
      <c r="H175" s="86"/>
    </row>
    <row r="176" spans="8:8">
      <c r="H176" s="86"/>
    </row>
    <row r="177" spans="8:8">
      <c r="H177" s="86"/>
    </row>
    <row r="178" spans="8:8">
      <c r="H178" s="86"/>
    </row>
    <row r="179" spans="8:8">
      <c r="H179" s="86"/>
    </row>
    <row r="180" spans="8:8">
      <c r="H180" s="86"/>
    </row>
    <row r="181" spans="8:8">
      <c r="H181" s="86"/>
    </row>
    <row r="182" spans="8:8">
      <c r="H182" s="86"/>
    </row>
    <row r="183" spans="8:8">
      <c r="H183" s="86"/>
    </row>
    <row r="184" spans="8:8">
      <c r="H184" s="86"/>
    </row>
    <row r="185" spans="8:8">
      <c r="H185" s="86"/>
    </row>
    <row r="186" spans="8:8">
      <c r="H186" s="86"/>
    </row>
    <row r="187" spans="8:8">
      <c r="H187" s="86"/>
    </row>
    <row r="188" spans="8:8">
      <c r="H188" s="86"/>
    </row>
    <row r="189" spans="8:8">
      <c r="H189" s="86"/>
    </row>
    <row r="190" spans="8:8">
      <c r="H190" s="86"/>
    </row>
    <row r="191" spans="8:8">
      <c r="H191" s="86"/>
    </row>
    <row r="192" spans="8:8">
      <c r="H192" s="86"/>
    </row>
    <row r="193" spans="8:8">
      <c r="H193" s="86"/>
    </row>
    <row r="194" spans="8:8">
      <c r="H194" s="86"/>
    </row>
    <row r="195" spans="8:8">
      <c r="H195" s="86"/>
    </row>
    <row r="196" spans="8:8">
      <c r="H196" s="86"/>
    </row>
    <row r="197" spans="8:8">
      <c r="H197" s="86"/>
    </row>
    <row r="198" spans="8:8">
      <c r="H198" s="86"/>
    </row>
    <row r="199" spans="8:8">
      <c r="H199" s="86"/>
    </row>
    <row r="200" spans="8:8">
      <c r="H200" s="86"/>
    </row>
    <row r="201" spans="8:8">
      <c r="H201" s="86"/>
    </row>
    <row r="202" spans="8:8">
      <c r="H202" s="86"/>
    </row>
    <row r="203" spans="8:8">
      <c r="H203" s="86"/>
    </row>
    <row r="204" spans="8:8">
      <c r="H204" s="86"/>
    </row>
    <row r="205" spans="8:8">
      <c r="H205" s="86"/>
    </row>
    <row r="206" spans="8:8">
      <c r="H206" s="86"/>
    </row>
    <row r="207" spans="8:8">
      <c r="H207" s="86"/>
    </row>
    <row r="208" spans="8:8">
      <c r="H208" s="86"/>
    </row>
    <row r="209" spans="8:8">
      <c r="H209" s="86"/>
    </row>
    <row r="210" spans="8:8">
      <c r="H210" s="86"/>
    </row>
    <row r="211" spans="8:8">
      <c r="H211" s="86"/>
    </row>
    <row r="212" spans="8:8">
      <c r="H212" s="86"/>
    </row>
    <row r="213" spans="8:8">
      <c r="H213" s="86"/>
    </row>
    <row r="214" spans="8:8">
      <c r="H214" s="86"/>
    </row>
    <row r="215" spans="8:8">
      <c r="H215" s="86"/>
    </row>
    <row r="216" spans="8:8">
      <c r="H216" s="86"/>
    </row>
    <row r="217" spans="8:8">
      <c r="H217" s="86"/>
    </row>
    <row r="218" spans="8:8">
      <c r="H218" s="86"/>
    </row>
    <row r="219" spans="8:8">
      <c r="H219" s="86"/>
    </row>
    <row r="220" spans="8:8">
      <c r="H220" s="86"/>
    </row>
    <row r="221" spans="8:8">
      <c r="H221" s="86"/>
    </row>
    <row r="222" spans="8:8">
      <c r="H222" s="86"/>
    </row>
    <row r="223" spans="8:8">
      <c r="H223" s="86"/>
    </row>
    <row r="224" spans="8:8">
      <c r="H224" s="86"/>
    </row>
    <row r="225" spans="8:8">
      <c r="H225" s="86"/>
    </row>
    <row r="226" spans="8:8">
      <c r="H226" s="86"/>
    </row>
    <row r="227" spans="8:8">
      <c r="H227" s="86"/>
    </row>
    <row r="228" spans="8:8">
      <c r="H228" s="86"/>
    </row>
    <row r="229" spans="8:8">
      <c r="H229" s="86"/>
    </row>
    <row r="230" spans="8:8">
      <c r="H230" s="86"/>
    </row>
    <row r="231" spans="8:8">
      <c r="H231" s="86"/>
    </row>
    <row r="232" spans="8:8">
      <c r="H232" s="86"/>
    </row>
    <row r="233" spans="8:8">
      <c r="H233" s="86"/>
    </row>
    <row r="234" spans="8:8">
      <c r="H234" s="86"/>
    </row>
    <row r="235" spans="8:8">
      <c r="H235" s="86"/>
    </row>
    <row r="236" spans="8:8">
      <c r="H236" s="86"/>
    </row>
    <row r="237" spans="8:8">
      <c r="H237" s="86"/>
    </row>
    <row r="238" spans="8:8">
      <c r="H238" s="86"/>
    </row>
    <row r="239" spans="8:8">
      <c r="H239" s="86"/>
    </row>
    <row r="240" spans="8:8">
      <c r="H240" s="86"/>
    </row>
    <row r="241" spans="8:8">
      <c r="H241" s="86"/>
    </row>
    <row r="242" spans="8:8">
      <c r="H242" s="86"/>
    </row>
    <row r="243" spans="8:8">
      <c r="H243" s="86"/>
    </row>
    <row r="244" spans="8:8">
      <c r="H244" s="86"/>
    </row>
    <row r="245" spans="8:8">
      <c r="H245" s="86"/>
    </row>
    <row r="246" spans="8:8">
      <c r="H246" s="86"/>
    </row>
    <row r="247" spans="8:8">
      <c r="H247" s="86"/>
    </row>
    <row r="248" spans="8:8">
      <c r="H248" s="86"/>
    </row>
    <row r="249" spans="8:8">
      <c r="H249" s="86"/>
    </row>
    <row r="250" spans="8:8">
      <c r="H250" s="86"/>
    </row>
    <row r="251" spans="8:8">
      <c r="H251" s="86"/>
    </row>
    <row r="252" spans="8:8">
      <c r="H252" s="86"/>
    </row>
    <row r="253" spans="8:8">
      <c r="H253" s="86"/>
    </row>
    <row r="254" spans="8:8">
      <c r="H254" s="86"/>
    </row>
    <row r="255" spans="8:8">
      <c r="H255" s="86"/>
    </row>
    <row r="256" spans="8:8">
      <c r="H256" s="86"/>
    </row>
    <row r="257" spans="8:8">
      <c r="H257" s="86"/>
    </row>
    <row r="258" spans="8:8">
      <c r="H258" s="86"/>
    </row>
    <row r="259" spans="8:8">
      <c r="H259" s="86"/>
    </row>
    <row r="260" spans="8:8">
      <c r="H260" s="86"/>
    </row>
    <row r="261" spans="8:8">
      <c r="H261" s="86"/>
    </row>
    <row r="262" spans="8:8">
      <c r="H262" s="86"/>
    </row>
    <row r="263" spans="8:8">
      <c r="H263" s="86"/>
    </row>
    <row r="264" spans="8:8">
      <c r="H264" s="86"/>
    </row>
    <row r="265" spans="8:8">
      <c r="H265" s="86"/>
    </row>
    <row r="266" spans="8:8">
      <c r="H266" s="86"/>
    </row>
    <row r="267" spans="8:8">
      <c r="H267" s="86"/>
    </row>
    <row r="268" spans="8:8">
      <c r="H268" s="86"/>
    </row>
    <row r="269" spans="8:8">
      <c r="H269" s="86"/>
    </row>
    <row r="270" spans="8:8">
      <c r="H270" s="86"/>
    </row>
    <row r="271" spans="8:8">
      <c r="H271" s="86"/>
    </row>
    <row r="272" spans="8:8">
      <c r="H272" s="86"/>
    </row>
    <row r="273" spans="8:8">
      <c r="H273" s="86"/>
    </row>
    <row r="274" spans="8:8">
      <c r="H274" s="86"/>
    </row>
    <row r="275" spans="8:8">
      <c r="H275" s="86"/>
    </row>
    <row r="276" spans="8:8">
      <c r="H276" s="86"/>
    </row>
    <row r="277" spans="8:8">
      <c r="H277" s="86"/>
    </row>
    <row r="278" spans="8:8">
      <c r="H278" s="86"/>
    </row>
    <row r="279" spans="8:8">
      <c r="H279" s="86"/>
    </row>
    <row r="280" spans="8:8">
      <c r="H280" s="86"/>
    </row>
    <row r="281" spans="8:8">
      <c r="H281" s="86"/>
    </row>
    <row r="282" spans="8:8">
      <c r="H282" s="86"/>
    </row>
    <row r="283" spans="8:8">
      <c r="H283" s="86"/>
    </row>
    <row r="284" spans="8:8">
      <c r="H284" s="86"/>
    </row>
    <row r="285" spans="8:8">
      <c r="H285" s="86"/>
    </row>
    <row r="286" spans="8:8">
      <c r="H286" s="86"/>
    </row>
    <row r="287" spans="8:8">
      <c r="H287" s="86"/>
    </row>
    <row r="288" spans="8:8">
      <c r="H288" s="86"/>
    </row>
    <row r="289" spans="8:8">
      <c r="H289" s="86"/>
    </row>
    <row r="290" spans="8:8">
      <c r="H290" s="86"/>
    </row>
    <row r="291" spans="8:8">
      <c r="H291" s="86"/>
    </row>
    <row r="292" spans="8:8">
      <c r="H292" s="86"/>
    </row>
    <row r="293" spans="8:8">
      <c r="H293" s="86"/>
    </row>
    <row r="294" spans="8:8">
      <c r="H294" s="86"/>
    </row>
    <row r="295" spans="8:8">
      <c r="H295" s="86"/>
    </row>
    <row r="296" spans="8:8">
      <c r="H296" s="86"/>
    </row>
    <row r="297" spans="8:8">
      <c r="H297" s="86"/>
    </row>
    <row r="298" spans="8:8">
      <c r="H298" s="86"/>
    </row>
    <row r="299" spans="8:8">
      <c r="H299" s="86"/>
    </row>
    <row r="300" spans="8:8">
      <c r="H300" s="86"/>
    </row>
    <row r="301" spans="8:8">
      <c r="H301" s="86"/>
    </row>
    <row r="302" spans="8:8">
      <c r="H302" s="86"/>
    </row>
    <row r="303" spans="8:8">
      <c r="H303" s="86"/>
    </row>
    <row r="304" spans="8:8">
      <c r="H304" s="86"/>
    </row>
    <row r="305" spans="8:8">
      <c r="H305" s="86"/>
    </row>
    <row r="306" spans="8:8">
      <c r="H306" s="86"/>
    </row>
    <row r="307" spans="8:8">
      <c r="H307" s="86"/>
    </row>
    <row r="308" spans="8:8">
      <c r="H308" s="86"/>
    </row>
    <row r="309" spans="8:8">
      <c r="H309" s="86"/>
    </row>
    <row r="310" spans="8:8">
      <c r="H310" s="86"/>
    </row>
    <row r="311" spans="8:8">
      <c r="H311" s="86"/>
    </row>
    <row r="312" spans="8:8">
      <c r="H312" s="86"/>
    </row>
    <row r="313" spans="8:8">
      <c r="H313" s="86"/>
    </row>
    <row r="314" spans="8:8">
      <c r="H314" s="86"/>
    </row>
    <row r="315" spans="8:8">
      <c r="H315" s="86"/>
    </row>
    <row r="316" spans="8:8">
      <c r="H316" s="86"/>
    </row>
    <row r="317" spans="8:8">
      <c r="H317" s="86"/>
    </row>
    <row r="318" spans="8:8">
      <c r="H318" s="86"/>
    </row>
    <row r="319" spans="8:8">
      <c r="H319" s="86"/>
    </row>
    <row r="320" spans="8:8">
      <c r="H320" s="86"/>
    </row>
    <row r="321" spans="8:8">
      <c r="H321" s="86"/>
    </row>
    <row r="322" spans="8:8">
      <c r="H322" s="86"/>
    </row>
    <row r="323" spans="8:8">
      <c r="H323" s="86"/>
    </row>
    <row r="324" spans="8:8">
      <c r="H324" s="86"/>
    </row>
    <row r="325" spans="8:8">
      <c r="H325" s="86"/>
    </row>
    <row r="326" spans="8:8">
      <c r="H326" s="86"/>
    </row>
    <row r="327" spans="8:8">
      <c r="H327" s="86"/>
    </row>
    <row r="328" spans="8:8">
      <c r="H328" s="86"/>
    </row>
    <row r="329" spans="8:8">
      <c r="H329" s="86"/>
    </row>
    <row r="330" spans="8:8">
      <c r="H330" s="86"/>
    </row>
    <row r="331" spans="8:8">
      <c r="H331" s="86"/>
    </row>
    <row r="332" spans="8:8">
      <c r="H332" s="86"/>
    </row>
    <row r="333" spans="8:8">
      <c r="H333" s="86"/>
    </row>
    <row r="334" spans="8:8">
      <c r="H334" s="86"/>
    </row>
    <row r="335" spans="8:8">
      <c r="H335" s="86"/>
    </row>
    <row r="336" spans="8:8">
      <c r="H336" s="86"/>
    </row>
    <row r="337" spans="8:8">
      <c r="H337" s="86"/>
    </row>
    <row r="338" spans="8:8">
      <c r="H338" s="86"/>
    </row>
    <row r="339" spans="8:8">
      <c r="H339" s="86"/>
    </row>
    <row r="340" spans="8:8">
      <c r="H340" s="86"/>
    </row>
    <row r="341" spans="8:8">
      <c r="H341" s="86"/>
    </row>
    <row r="342" spans="8:8">
      <c r="H342" s="86"/>
    </row>
    <row r="343" spans="8:8">
      <c r="H343" s="86"/>
    </row>
    <row r="344" spans="8:8">
      <c r="H344" s="86"/>
    </row>
    <row r="345" spans="8:8">
      <c r="H345" s="86"/>
    </row>
    <row r="346" spans="8:8">
      <c r="H346" s="86"/>
    </row>
    <row r="347" spans="8:8">
      <c r="H347" s="86"/>
    </row>
    <row r="348" spans="8:8">
      <c r="H348" s="86"/>
    </row>
    <row r="349" spans="8:8">
      <c r="H349" s="86"/>
    </row>
    <row r="350" spans="8:8">
      <c r="H350" s="86"/>
    </row>
    <row r="351" spans="8:8">
      <c r="H351" s="86"/>
    </row>
    <row r="352" spans="8:8">
      <c r="H352" s="86"/>
    </row>
    <row r="353" spans="8:8">
      <c r="H353" s="86"/>
    </row>
    <row r="354" spans="8:8">
      <c r="H354" s="86"/>
    </row>
    <row r="355" spans="8:8">
      <c r="H355" s="86"/>
    </row>
    <row r="356" spans="8:8">
      <c r="H356" s="86"/>
    </row>
    <row r="357" spans="8:8">
      <c r="H357" s="86"/>
    </row>
    <row r="358" spans="8:8">
      <c r="H358" s="86"/>
    </row>
    <row r="359" spans="8:8">
      <c r="H359" s="86"/>
    </row>
    <row r="360" spans="8:8">
      <c r="H360" s="86"/>
    </row>
    <row r="361" spans="8:8">
      <c r="H361" s="86"/>
    </row>
    <row r="362" spans="8:8">
      <c r="H362" s="86"/>
    </row>
    <row r="363" spans="8:8">
      <c r="H363" s="86"/>
    </row>
    <row r="364" spans="8:8">
      <c r="H364" s="86"/>
    </row>
    <row r="365" spans="8:8">
      <c r="H365" s="86"/>
    </row>
    <row r="366" spans="8:8">
      <c r="H366" s="86"/>
    </row>
    <row r="367" spans="8:8">
      <c r="H367" s="86"/>
    </row>
    <row r="368" spans="8:8">
      <c r="H368" s="86"/>
    </row>
    <row r="369" spans="8:8">
      <c r="H369" s="86"/>
    </row>
    <row r="370" spans="8:8">
      <c r="H370" s="86"/>
    </row>
    <row r="371" spans="8:8">
      <c r="H371" s="86"/>
    </row>
    <row r="372" spans="8:8">
      <c r="H372" s="86"/>
    </row>
    <row r="373" spans="8:8">
      <c r="H373" s="86"/>
    </row>
    <row r="374" spans="8:8">
      <c r="H374" s="86"/>
    </row>
    <row r="375" spans="8:8">
      <c r="H375" s="86"/>
    </row>
    <row r="376" spans="8:8">
      <c r="H376" s="86"/>
    </row>
    <row r="377" spans="8:8">
      <c r="H377" s="86"/>
    </row>
    <row r="378" spans="8:8">
      <c r="H378" s="86"/>
    </row>
    <row r="379" spans="8:8">
      <c r="H379" s="86"/>
    </row>
    <row r="380" spans="8:8">
      <c r="H380" s="86"/>
    </row>
    <row r="381" spans="8:8">
      <c r="H381" s="86"/>
    </row>
    <row r="382" spans="8:8">
      <c r="H382" s="86"/>
    </row>
    <row r="383" spans="8:8">
      <c r="H383" s="86"/>
    </row>
    <row r="384" spans="8:8">
      <c r="H384" s="86"/>
    </row>
    <row r="385" spans="8:8">
      <c r="H385" s="86"/>
    </row>
    <row r="386" spans="8:8">
      <c r="H386" s="86"/>
    </row>
    <row r="387" spans="8:8">
      <c r="H387" s="86"/>
    </row>
    <row r="388" spans="8:8">
      <c r="H388" s="86"/>
    </row>
    <row r="389" spans="8:8">
      <c r="H389" s="86"/>
    </row>
    <row r="390" spans="8:8">
      <c r="H390" s="86"/>
    </row>
    <row r="391" spans="8:8">
      <c r="H391" s="86"/>
    </row>
    <row r="392" spans="8:8">
      <c r="H392" s="86"/>
    </row>
    <row r="393" spans="8:8">
      <c r="H393" s="86"/>
    </row>
    <row r="394" spans="8:8">
      <c r="H394" s="86"/>
    </row>
    <row r="395" spans="8:8">
      <c r="H395" s="86"/>
    </row>
    <row r="396" spans="8:8">
      <c r="H396" s="86"/>
    </row>
    <row r="397" spans="8:8">
      <c r="H397" s="86"/>
    </row>
    <row r="398" spans="8:8">
      <c r="H398" s="86"/>
    </row>
    <row r="399" spans="8:8">
      <c r="H399" s="86"/>
    </row>
    <row r="400" spans="8:8">
      <c r="H400" s="86"/>
    </row>
    <row r="401" spans="8:8">
      <c r="H401" s="86"/>
    </row>
    <row r="402" spans="8:8">
      <c r="H402" s="86"/>
    </row>
    <row r="403" spans="8:8">
      <c r="H403" s="86"/>
    </row>
    <row r="404" spans="8:8">
      <c r="H404" s="86"/>
    </row>
    <row r="405" spans="8:8">
      <c r="H405" s="86"/>
    </row>
    <row r="406" spans="8:8">
      <c r="H406" s="86"/>
    </row>
    <row r="407" spans="8:8">
      <c r="H407" s="86"/>
    </row>
    <row r="408" spans="8:8">
      <c r="H408" s="86"/>
    </row>
    <row r="409" spans="8:8">
      <c r="H409" s="86"/>
    </row>
    <row r="410" spans="8:8">
      <c r="H410" s="86"/>
    </row>
    <row r="411" spans="8:8">
      <c r="H411" s="86"/>
    </row>
    <row r="412" spans="8:8">
      <c r="H412" s="86"/>
    </row>
    <row r="413" spans="8:8">
      <c r="H413" s="86"/>
    </row>
    <row r="414" spans="8:8">
      <c r="H414" s="86"/>
    </row>
    <row r="415" spans="8:8">
      <c r="H415" s="86"/>
    </row>
    <row r="416" spans="8:8">
      <c r="H416" s="86"/>
    </row>
    <row r="417" spans="8:8">
      <c r="H417" s="86"/>
    </row>
    <row r="418" spans="8:8">
      <c r="H418" s="86"/>
    </row>
    <row r="419" spans="8:8">
      <c r="H419" s="86"/>
    </row>
    <row r="420" spans="8:8">
      <c r="H420" s="86"/>
    </row>
    <row r="421" spans="8:8">
      <c r="H421" s="86"/>
    </row>
    <row r="422" spans="8:8">
      <c r="H422" s="86"/>
    </row>
    <row r="423" spans="8:8">
      <c r="H423" s="86"/>
    </row>
    <row r="424" spans="8:8">
      <c r="H424" s="86"/>
    </row>
    <row r="425" spans="8:8">
      <c r="H425" s="86"/>
    </row>
    <row r="426" spans="8:8">
      <c r="H426" s="86"/>
    </row>
    <row r="427" spans="8:8">
      <c r="H427" s="86"/>
    </row>
    <row r="428" spans="8:8">
      <c r="H428" s="86"/>
    </row>
    <row r="429" spans="8:8">
      <c r="H429" s="86"/>
    </row>
    <row r="430" spans="8:8">
      <c r="H430" s="86"/>
    </row>
    <row r="431" spans="8:8">
      <c r="H431" s="86"/>
    </row>
    <row r="432" spans="8:8">
      <c r="H432" s="86"/>
    </row>
    <row r="433" spans="8:8">
      <c r="H433" s="86"/>
    </row>
    <row r="434" spans="8:8">
      <c r="H434" s="86"/>
    </row>
    <row r="435" spans="8:8">
      <c r="H435" s="86"/>
    </row>
    <row r="436" spans="8:8">
      <c r="H436" s="86"/>
    </row>
    <row r="437" spans="8:8">
      <c r="H437" s="86"/>
    </row>
    <row r="438" spans="8:8">
      <c r="H438" s="86"/>
    </row>
    <row r="439" spans="8:8">
      <c r="H439" s="86"/>
    </row>
    <row r="440" spans="8:8">
      <c r="H440" s="86"/>
    </row>
    <row r="441" spans="8:8">
      <c r="H441" s="86"/>
    </row>
    <row r="442" spans="8:8">
      <c r="H442" s="86"/>
    </row>
    <row r="443" spans="8:8">
      <c r="H443" s="86"/>
    </row>
    <row r="444" spans="8:8">
      <c r="H444" s="86"/>
    </row>
    <row r="445" spans="8:8">
      <c r="H445" s="86"/>
    </row>
    <row r="446" spans="8:8">
      <c r="H446" s="86"/>
    </row>
    <row r="447" spans="8:8">
      <c r="H447" s="86"/>
    </row>
    <row r="448" spans="8:8">
      <c r="H448" s="86"/>
    </row>
    <row r="449" spans="8:8">
      <c r="H449" s="86"/>
    </row>
    <row r="450" spans="8:8">
      <c r="H450" s="86"/>
    </row>
    <row r="451" spans="8:8">
      <c r="H451" s="86"/>
    </row>
    <row r="452" spans="8:8">
      <c r="H452" s="86"/>
    </row>
    <row r="453" spans="8:8">
      <c r="H453" s="86"/>
    </row>
    <row r="454" spans="8:8">
      <c r="H454" s="86"/>
    </row>
    <row r="455" spans="8:8">
      <c r="H455" s="86"/>
    </row>
    <row r="456" spans="8:8">
      <c r="H456" s="86"/>
    </row>
    <row r="457" spans="8:8">
      <c r="H457" s="86"/>
    </row>
    <row r="458" spans="8:8">
      <c r="H458" s="86"/>
    </row>
    <row r="459" spans="8:8">
      <c r="H459" s="86"/>
    </row>
    <row r="460" spans="8:8">
      <c r="H460" s="86"/>
    </row>
    <row r="461" spans="8:8">
      <c r="H461" s="86"/>
    </row>
    <row r="462" spans="8:8">
      <c r="H462" s="86"/>
    </row>
    <row r="463" spans="8:8">
      <c r="H463" s="86"/>
    </row>
    <row r="464" spans="8:8">
      <c r="H464" s="86"/>
    </row>
    <row r="465" spans="8:8">
      <c r="H465" s="86"/>
    </row>
    <row r="466" spans="8:8">
      <c r="H466" s="86"/>
    </row>
    <row r="467" spans="8:8">
      <c r="H467" s="86"/>
    </row>
    <row r="468" spans="8:8">
      <c r="H468" s="86"/>
    </row>
    <row r="469" spans="8:8">
      <c r="H469" s="86"/>
    </row>
    <row r="470" spans="8:8">
      <c r="H470" s="86"/>
    </row>
    <row r="471" spans="8:8">
      <c r="H471" s="86"/>
    </row>
    <row r="472" spans="8:8">
      <c r="H472" s="86"/>
    </row>
    <row r="473" spans="8:8">
      <c r="H473" s="86"/>
    </row>
    <row r="474" spans="8:8">
      <c r="H474" s="86"/>
    </row>
    <row r="475" spans="8:8">
      <c r="H475" s="86"/>
    </row>
    <row r="476" spans="8:8">
      <c r="H476" s="86"/>
    </row>
    <row r="477" spans="8:8">
      <c r="H477" s="86"/>
    </row>
    <row r="478" spans="8:8">
      <c r="H478" s="86"/>
    </row>
    <row r="479" spans="8:8">
      <c r="H479" s="86"/>
    </row>
    <row r="480" spans="8:8">
      <c r="H480" s="86"/>
    </row>
    <row r="481" spans="8:8">
      <c r="H481" s="86"/>
    </row>
    <row r="482" spans="8:8">
      <c r="H482" s="86"/>
    </row>
    <row r="483" spans="8:8">
      <c r="H483" s="86"/>
    </row>
    <row r="484" spans="8:8">
      <c r="H484" s="86"/>
    </row>
    <row r="485" spans="8:8">
      <c r="H485" s="86"/>
    </row>
    <row r="486" spans="8:8">
      <c r="H486" s="86"/>
    </row>
    <row r="487" spans="8:8">
      <c r="H487" s="86"/>
    </row>
    <row r="488" spans="8:8">
      <c r="H488" s="86"/>
    </row>
    <row r="489" spans="8:8">
      <c r="H489" s="86"/>
    </row>
    <row r="490" spans="8:8">
      <c r="H490" s="86"/>
    </row>
    <row r="491" spans="8:8">
      <c r="H491" s="86"/>
    </row>
    <row r="492" spans="8:8">
      <c r="H492" s="86"/>
    </row>
    <row r="493" spans="8:8">
      <c r="H493" s="86"/>
    </row>
    <row r="494" spans="8:8">
      <c r="H494" s="86"/>
    </row>
    <row r="495" spans="8:8">
      <c r="H495" s="86"/>
    </row>
    <row r="496" spans="8:8">
      <c r="H496" s="86"/>
    </row>
    <row r="497" spans="8:8">
      <c r="H497" s="86"/>
    </row>
    <row r="498" spans="8:8">
      <c r="H498" s="86"/>
    </row>
    <row r="499" spans="8:8">
      <c r="H499" s="86"/>
    </row>
    <row r="500" spans="8:8">
      <c r="H500" s="86"/>
    </row>
    <row r="501" spans="8:8">
      <c r="H501" s="86"/>
    </row>
    <row r="502" spans="8:8">
      <c r="H502" s="86"/>
    </row>
    <row r="503" spans="8:8">
      <c r="H503" s="86"/>
    </row>
    <row r="504" spans="8:8">
      <c r="H504" s="86"/>
    </row>
    <row r="505" spans="8:8">
      <c r="H505" s="86"/>
    </row>
    <row r="506" spans="8:8">
      <c r="H506" s="86"/>
    </row>
    <row r="507" spans="8:8">
      <c r="H507" s="86"/>
    </row>
    <row r="508" spans="8:8">
      <c r="H508" s="86"/>
    </row>
    <row r="509" spans="8:8">
      <c r="H509" s="86"/>
    </row>
    <row r="510" spans="8:8">
      <c r="H510" s="86"/>
    </row>
    <row r="511" spans="8:8">
      <c r="H511" s="86"/>
    </row>
    <row r="512" spans="8:8">
      <c r="H512" s="86"/>
    </row>
    <row r="513" spans="8:8">
      <c r="H513" s="86"/>
    </row>
    <row r="514" spans="8:8">
      <c r="H514" s="86"/>
    </row>
    <row r="515" spans="8:8">
      <c r="H515" s="86"/>
    </row>
    <row r="516" spans="8:8">
      <c r="H516" s="86"/>
    </row>
    <row r="517" spans="8:8">
      <c r="H517" s="86"/>
    </row>
    <row r="518" spans="8:8">
      <c r="H518" s="86"/>
    </row>
    <row r="519" spans="8:8">
      <c r="H519" s="86"/>
    </row>
    <row r="520" spans="8:8">
      <c r="H520" s="86"/>
    </row>
    <row r="521" spans="8:8">
      <c r="H521" s="86"/>
    </row>
    <row r="522" spans="8:8">
      <c r="H522" s="86"/>
    </row>
    <row r="523" spans="8:8">
      <c r="H523" s="86"/>
    </row>
    <row r="524" spans="8:8">
      <c r="H524" s="86"/>
    </row>
    <row r="525" spans="8:8">
      <c r="H525" s="86"/>
    </row>
    <row r="526" spans="8:8">
      <c r="H526" s="86"/>
    </row>
    <row r="527" spans="8:8">
      <c r="H527" s="86"/>
    </row>
    <row r="528" spans="8:8">
      <c r="H528" s="86"/>
    </row>
    <row r="529" spans="8:8">
      <c r="H529" s="86"/>
    </row>
    <row r="530" spans="8:8">
      <c r="H530" s="86"/>
    </row>
    <row r="531" spans="8:8">
      <c r="H531" s="86"/>
    </row>
    <row r="532" spans="8:8">
      <c r="H532" s="86"/>
    </row>
    <row r="533" spans="8:8">
      <c r="H533" s="86"/>
    </row>
    <row r="534" spans="8:8">
      <c r="H534" s="86"/>
    </row>
    <row r="535" spans="8:8">
      <c r="H535" s="86"/>
    </row>
    <row r="536" spans="8:8">
      <c r="H536" s="86"/>
    </row>
    <row r="537" spans="8:8">
      <c r="H537" s="86"/>
    </row>
    <row r="538" spans="8:8">
      <c r="H538" s="86"/>
    </row>
    <row r="539" spans="8:8">
      <c r="H539" s="86"/>
    </row>
    <row r="540" spans="8:8">
      <c r="H540" s="86"/>
    </row>
    <row r="541" spans="8:8">
      <c r="H541" s="86"/>
    </row>
    <row r="542" spans="8:8">
      <c r="H542" s="86"/>
    </row>
    <row r="543" spans="8:8">
      <c r="H543" s="86"/>
    </row>
    <row r="544" spans="8:8">
      <c r="H544" s="86"/>
    </row>
    <row r="545" spans="8:8">
      <c r="H545" s="86"/>
    </row>
    <row r="546" spans="8:8">
      <c r="H546" s="86"/>
    </row>
    <row r="547" spans="8:8">
      <c r="H547" s="86"/>
    </row>
    <row r="548" spans="8:8">
      <c r="H548" s="86"/>
    </row>
    <row r="549" spans="8:8">
      <c r="H549" s="86"/>
    </row>
    <row r="550" spans="8:8">
      <c r="H550" s="86"/>
    </row>
    <row r="551" spans="8:8">
      <c r="H551" s="86"/>
    </row>
    <row r="552" spans="8:8">
      <c r="H552" s="86"/>
    </row>
    <row r="553" spans="8:8">
      <c r="H553" s="86"/>
    </row>
    <row r="554" spans="8:8">
      <c r="H554" s="86"/>
    </row>
    <row r="555" spans="8:8">
      <c r="H555" s="86"/>
    </row>
    <row r="556" spans="8:8">
      <c r="H556" s="86"/>
    </row>
    <row r="557" spans="8:8">
      <c r="H557" s="86"/>
    </row>
    <row r="558" spans="8:8">
      <c r="H558" s="86"/>
    </row>
    <row r="559" spans="8:8">
      <c r="H559" s="86"/>
    </row>
    <row r="560" spans="8:8">
      <c r="H560" s="86"/>
    </row>
    <row r="561" spans="8:8">
      <c r="H561" s="86"/>
    </row>
    <row r="562" spans="8:8">
      <c r="H562" s="86"/>
    </row>
    <row r="563" spans="8:8">
      <c r="H563" s="86"/>
    </row>
    <row r="564" spans="8:8">
      <c r="H564" s="86"/>
    </row>
    <row r="565" spans="8:8">
      <c r="H565" s="86"/>
    </row>
    <row r="566" spans="8:8">
      <c r="H566" s="86"/>
    </row>
    <row r="567" spans="8:8">
      <c r="H567" s="86"/>
    </row>
    <row r="568" spans="8:8">
      <c r="H568" s="86"/>
    </row>
    <row r="569" spans="8:8">
      <c r="H569" s="86"/>
    </row>
    <row r="570" spans="8:8">
      <c r="H570" s="86"/>
    </row>
    <row r="571" spans="8:8">
      <c r="H571" s="86"/>
    </row>
    <row r="572" spans="8:8">
      <c r="H572" s="86"/>
    </row>
    <row r="573" spans="8:8">
      <c r="H573" s="86"/>
    </row>
    <row r="574" spans="8:8">
      <c r="H574" s="86"/>
    </row>
    <row r="575" spans="8:8">
      <c r="H575" s="86"/>
    </row>
    <row r="576" spans="8:8">
      <c r="H576" s="86"/>
    </row>
    <row r="577" spans="8:8">
      <c r="H577" s="86"/>
    </row>
    <row r="578" spans="8:8">
      <c r="H578" s="86"/>
    </row>
    <row r="579" spans="8:8">
      <c r="H579" s="86"/>
    </row>
    <row r="580" spans="8:8">
      <c r="H580" s="86"/>
    </row>
    <row r="581" spans="8:8">
      <c r="H581" s="86"/>
    </row>
    <row r="582" spans="8:8">
      <c r="H582" s="86"/>
    </row>
    <row r="583" spans="8:8">
      <c r="H583" s="86"/>
    </row>
    <row r="584" spans="8:8">
      <c r="H584" s="86"/>
    </row>
    <row r="585" spans="8:8">
      <c r="H585" s="86"/>
    </row>
    <row r="586" spans="8:8">
      <c r="H586" s="86"/>
    </row>
    <row r="587" spans="8:8">
      <c r="H587" s="86"/>
    </row>
    <row r="588" spans="8:8">
      <c r="H588" s="86"/>
    </row>
    <row r="589" spans="8:8">
      <c r="H589" s="86"/>
    </row>
    <row r="590" spans="8:8">
      <c r="H590" s="86"/>
    </row>
    <row r="591" spans="8:8">
      <c r="H591" s="86"/>
    </row>
    <row r="592" spans="8:8">
      <c r="H592" s="86"/>
    </row>
    <row r="593" spans="8:8">
      <c r="H593" s="86"/>
    </row>
    <row r="594" spans="8:8">
      <c r="H594" s="86"/>
    </row>
    <row r="595" spans="8:8">
      <c r="H595" s="86"/>
    </row>
    <row r="596" spans="8:8">
      <c r="H596" s="86"/>
    </row>
    <row r="597" spans="8:8">
      <c r="H597" s="86"/>
    </row>
    <row r="598" spans="8:8">
      <c r="H598" s="86"/>
    </row>
    <row r="599" spans="8:8">
      <c r="H599" s="86"/>
    </row>
    <row r="600" spans="8:8">
      <c r="H600" s="86"/>
    </row>
    <row r="601" spans="8:8">
      <c r="H601" s="86"/>
    </row>
    <row r="602" spans="8:8">
      <c r="H602" s="86"/>
    </row>
    <row r="603" spans="8:8">
      <c r="H603" s="86"/>
    </row>
    <row r="604" spans="8:8">
      <c r="H604" s="86"/>
    </row>
    <row r="605" spans="8:8">
      <c r="H605" s="86"/>
    </row>
    <row r="606" spans="8:8">
      <c r="H606" s="86"/>
    </row>
    <row r="607" spans="8:8">
      <c r="H607" s="86"/>
    </row>
    <row r="608" spans="8:8">
      <c r="H608" s="86"/>
    </row>
    <row r="609" spans="8:8">
      <c r="H609" s="86"/>
    </row>
    <row r="610" spans="8:8">
      <c r="H610" s="86"/>
    </row>
    <row r="611" spans="8:8">
      <c r="H611" s="86"/>
    </row>
    <row r="612" spans="8:8">
      <c r="H612" s="86"/>
    </row>
    <row r="613" spans="8:8">
      <c r="H613" s="86"/>
    </row>
    <row r="614" spans="8:8">
      <c r="H614" s="86"/>
    </row>
    <row r="615" spans="8:8">
      <c r="H615" s="86"/>
    </row>
    <row r="616" spans="8:8">
      <c r="H616" s="86"/>
    </row>
    <row r="617" spans="8:8">
      <c r="H617" s="86"/>
    </row>
    <row r="618" spans="8:8">
      <c r="H618" s="86"/>
    </row>
    <row r="619" spans="8:8">
      <c r="H619" s="86"/>
    </row>
    <row r="620" spans="8:8">
      <c r="H620" s="86"/>
    </row>
    <row r="621" spans="8:8">
      <c r="H621" s="86"/>
    </row>
    <row r="622" spans="8:8">
      <c r="H622" s="86"/>
    </row>
    <row r="623" spans="8:8">
      <c r="H623" s="86"/>
    </row>
    <row r="624" spans="8:8">
      <c r="H624" s="86"/>
    </row>
    <row r="625" spans="8:8">
      <c r="H625" s="86"/>
    </row>
    <row r="626" spans="8:8">
      <c r="H626" s="86"/>
    </row>
    <row r="627" spans="8:8">
      <c r="H627" s="86"/>
    </row>
    <row r="628" spans="8:8">
      <c r="H628" s="86"/>
    </row>
    <row r="629" spans="8:8">
      <c r="H629" s="86"/>
    </row>
    <row r="630" spans="8:8">
      <c r="H630" s="86"/>
    </row>
    <row r="631" spans="8:8">
      <c r="H631" s="86"/>
    </row>
    <row r="632" spans="8:8">
      <c r="H632" s="86"/>
    </row>
    <row r="633" spans="8:8">
      <c r="H633" s="86"/>
    </row>
    <row r="634" spans="8:8">
      <c r="H634" s="86"/>
    </row>
    <row r="635" spans="8:8">
      <c r="H635" s="86"/>
    </row>
    <row r="636" spans="8:8">
      <c r="H636" s="86"/>
    </row>
    <row r="637" spans="8:8">
      <c r="H637" s="86"/>
    </row>
    <row r="638" spans="8:8">
      <c r="H638" s="86"/>
    </row>
    <row r="639" spans="8:8">
      <c r="H639" s="86"/>
    </row>
    <row r="640" spans="8:8">
      <c r="H640" s="86"/>
    </row>
    <row r="641" spans="8:8">
      <c r="H641" s="86"/>
    </row>
    <row r="642" spans="8:8">
      <c r="H642" s="86"/>
    </row>
    <row r="643" spans="8:8">
      <c r="H643" s="86"/>
    </row>
    <row r="644" spans="8:8">
      <c r="H644" s="86"/>
    </row>
    <row r="645" spans="8:8">
      <c r="H645" s="86"/>
    </row>
    <row r="646" spans="8:8">
      <c r="H646" s="86"/>
    </row>
    <row r="647" spans="8:8">
      <c r="H647" s="86"/>
    </row>
    <row r="648" spans="8:8">
      <c r="H648" s="86"/>
    </row>
    <row r="649" spans="8:8">
      <c r="H649" s="86"/>
    </row>
    <row r="650" spans="8:8">
      <c r="H650" s="86"/>
    </row>
    <row r="651" spans="8:8">
      <c r="H651" s="86"/>
    </row>
    <row r="652" spans="8:8">
      <c r="H652" s="86"/>
    </row>
    <row r="653" spans="8:8">
      <c r="H653" s="86"/>
    </row>
    <row r="654" spans="8:8">
      <c r="H654" s="86"/>
    </row>
    <row r="655" spans="8:8">
      <c r="H655" s="86"/>
    </row>
    <row r="656" spans="8:8">
      <c r="H656" s="86"/>
    </row>
    <row r="657" spans="8:8">
      <c r="H657" s="86"/>
    </row>
    <row r="658" spans="8:8">
      <c r="H658" s="86"/>
    </row>
    <row r="659" spans="8:8">
      <c r="H659" s="86"/>
    </row>
    <row r="660" spans="8:8">
      <c r="H660" s="86"/>
    </row>
    <row r="661" spans="8:8">
      <c r="H661" s="86"/>
    </row>
    <row r="662" spans="8:8">
      <c r="H662" s="86"/>
    </row>
    <row r="663" spans="8:8">
      <c r="H663" s="86"/>
    </row>
    <row r="664" spans="8:8">
      <c r="H664" s="86"/>
    </row>
    <row r="665" spans="8:8">
      <c r="H665" s="86"/>
    </row>
    <row r="666" spans="8:8">
      <c r="H666" s="86"/>
    </row>
    <row r="667" spans="8:8">
      <c r="H667" s="86"/>
    </row>
    <row r="668" spans="8:8">
      <c r="H668" s="86"/>
    </row>
    <row r="669" spans="8:8">
      <c r="H669" s="86"/>
    </row>
    <row r="670" spans="8:8">
      <c r="H670" s="86"/>
    </row>
    <row r="671" spans="8:8">
      <c r="H671" s="86"/>
    </row>
    <row r="672" spans="8:8">
      <c r="H672" s="86"/>
    </row>
    <row r="673" spans="8:8">
      <c r="H673" s="86"/>
    </row>
    <row r="674" spans="8:8">
      <c r="H674" s="86"/>
    </row>
    <row r="675" spans="8:8">
      <c r="H675" s="86"/>
    </row>
    <row r="676" spans="8:8">
      <c r="H676" s="86"/>
    </row>
    <row r="677" spans="8:8">
      <c r="H677" s="86"/>
    </row>
    <row r="678" spans="8:8">
      <c r="H678" s="86"/>
    </row>
    <row r="679" spans="8:8">
      <c r="H679" s="86"/>
    </row>
    <row r="680" spans="8:8">
      <c r="H680" s="86"/>
    </row>
    <row r="681" spans="8:8">
      <c r="H681" s="86"/>
    </row>
    <row r="682" spans="8:8">
      <c r="H682" s="86"/>
    </row>
    <row r="683" spans="8:8">
      <c r="H683" s="86"/>
    </row>
    <row r="684" spans="8:8">
      <c r="H684" s="86"/>
    </row>
    <row r="685" spans="8:8">
      <c r="H685" s="86"/>
    </row>
    <row r="686" spans="8:8">
      <c r="H686" s="86"/>
    </row>
    <row r="687" spans="8:8">
      <c r="H687" s="86"/>
    </row>
    <row r="688" spans="8:8">
      <c r="H688" s="86"/>
    </row>
    <row r="689" spans="8:8">
      <c r="H689" s="86"/>
    </row>
    <row r="690" spans="8:8">
      <c r="H690" s="86"/>
    </row>
    <row r="691" spans="8:8">
      <c r="H691" s="86"/>
    </row>
    <row r="692" spans="8:8">
      <c r="H692" s="86"/>
    </row>
    <row r="693" spans="8:8">
      <c r="H693" s="86"/>
    </row>
    <row r="694" spans="8:8">
      <c r="H694" s="86"/>
    </row>
    <row r="695" spans="8:8">
      <c r="H695" s="86"/>
    </row>
    <row r="696" spans="8:8">
      <c r="H696" s="86"/>
    </row>
    <row r="697" spans="8:8">
      <c r="H697" s="86"/>
    </row>
    <row r="698" spans="8:8">
      <c r="H698" s="86"/>
    </row>
    <row r="699" spans="8:8">
      <c r="H699" s="86"/>
    </row>
    <row r="700" spans="8:8">
      <c r="H700" s="86"/>
    </row>
    <row r="701" spans="8:8">
      <c r="H701" s="86"/>
    </row>
    <row r="702" spans="8:8">
      <c r="H702" s="86"/>
    </row>
    <row r="703" spans="8:8">
      <c r="H703" s="86"/>
    </row>
    <row r="704" spans="8:8">
      <c r="H704" s="86"/>
    </row>
    <row r="705" spans="8:8">
      <c r="H705" s="86"/>
    </row>
    <row r="706" spans="8:8">
      <c r="H706" s="86"/>
    </row>
    <row r="707" spans="8:8">
      <c r="H707" s="86"/>
    </row>
    <row r="708" spans="8:8">
      <c r="H708" s="86"/>
    </row>
    <row r="709" spans="8:8">
      <c r="H709" s="86"/>
    </row>
    <row r="710" spans="8:8">
      <c r="H710" s="86"/>
    </row>
    <row r="711" spans="8:8">
      <c r="H711" s="86"/>
    </row>
    <row r="712" spans="8:8">
      <c r="H712" s="86"/>
    </row>
    <row r="713" spans="8:8">
      <c r="H713" s="86"/>
    </row>
    <row r="714" spans="8:8">
      <c r="H714" s="86"/>
    </row>
    <row r="715" spans="8:8">
      <c r="H715" s="86"/>
    </row>
    <row r="716" spans="8:8">
      <c r="H716" s="86"/>
    </row>
    <row r="717" spans="8:8">
      <c r="H717" s="86"/>
    </row>
    <row r="718" spans="8:8">
      <c r="H718" s="86"/>
    </row>
    <row r="719" spans="8:8">
      <c r="H719" s="86"/>
    </row>
    <row r="720" spans="8:8">
      <c r="H720" s="86"/>
    </row>
    <row r="721" spans="8:8">
      <c r="H721" s="86"/>
    </row>
    <row r="722" spans="8:8">
      <c r="H722" s="86"/>
    </row>
    <row r="723" spans="8:8">
      <c r="H723" s="86"/>
    </row>
    <row r="724" spans="8:8">
      <c r="H724" s="86"/>
    </row>
    <row r="725" spans="8:8">
      <c r="H725" s="86"/>
    </row>
    <row r="726" spans="8:8">
      <c r="H726" s="86"/>
    </row>
    <row r="727" spans="8:8">
      <c r="H727" s="86"/>
    </row>
    <row r="728" spans="8:8">
      <c r="H728" s="86"/>
    </row>
    <row r="729" spans="8:8">
      <c r="H729" s="86"/>
    </row>
    <row r="730" spans="8:8">
      <c r="H730" s="86"/>
    </row>
    <row r="731" spans="8:8">
      <c r="H731" s="86"/>
    </row>
    <row r="732" spans="8:8">
      <c r="H732" s="86"/>
    </row>
    <row r="733" spans="8:8">
      <c r="H733" s="86"/>
    </row>
    <row r="734" spans="8:8">
      <c r="H734" s="86"/>
    </row>
    <row r="735" spans="8:8">
      <c r="H735" s="86"/>
    </row>
    <row r="736" spans="8:8">
      <c r="H736" s="86"/>
    </row>
    <row r="737" spans="8:8">
      <c r="H737" s="86"/>
    </row>
    <row r="738" spans="8:8">
      <c r="H738" s="86"/>
    </row>
    <row r="739" spans="8:8">
      <c r="H739" s="86"/>
    </row>
    <row r="740" spans="8:8">
      <c r="H740" s="86"/>
    </row>
    <row r="741" spans="8:8">
      <c r="H741" s="86"/>
    </row>
    <row r="742" spans="8:8">
      <c r="H742" s="86"/>
    </row>
    <row r="743" spans="8:8">
      <c r="H743" s="86"/>
    </row>
    <row r="744" spans="8:8">
      <c r="H744" s="86"/>
    </row>
    <row r="745" spans="8:8">
      <c r="H745" s="86"/>
    </row>
    <row r="746" spans="8:8">
      <c r="H746" s="86"/>
    </row>
    <row r="747" spans="8:8">
      <c r="H747" s="86"/>
    </row>
    <row r="748" spans="8:8">
      <c r="H748" s="86"/>
    </row>
    <row r="749" spans="8:8">
      <c r="H749" s="86"/>
    </row>
    <row r="750" spans="8:8">
      <c r="H750" s="86"/>
    </row>
    <row r="751" spans="8:8">
      <c r="H751" s="86"/>
    </row>
    <row r="752" spans="8:8">
      <c r="H752" s="86"/>
    </row>
    <row r="753" spans="8:8">
      <c r="H753" s="86"/>
    </row>
    <row r="754" spans="8:8">
      <c r="H754" s="86"/>
    </row>
    <row r="755" spans="8:8">
      <c r="H755" s="86"/>
    </row>
    <row r="756" spans="8:8">
      <c r="H756" s="86"/>
    </row>
    <row r="757" spans="8:8">
      <c r="H757" s="86"/>
    </row>
    <row r="758" spans="8:8">
      <c r="H758" s="86"/>
    </row>
    <row r="759" spans="8:8">
      <c r="H759" s="86"/>
    </row>
    <row r="760" spans="8:8">
      <c r="H760" s="86"/>
    </row>
    <row r="761" spans="8:8">
      <c r="H761" s="86"/>
    </row>
    <row r="762" spans="8:8">
      <c r="H762" s="86"/>
    </row>
    <row r="763" spans="8:8">
      <c r="H763" s="86"/>
    </row>
    <row r="764" spans="8:8">
      <c r="H764" s="86"/>
    </row>
    <row r="765" spans="8:8">
      <c r="H765" s="86"/>
    </row>
    <row r="766" spans="8:8">
      <c r="H766" s="86"/>
    </row>
    <row r="767" spans="8:8">
      <c r="H767" s="86"/>
    </row>
    <row r="768" spans="8:8">
      <c r="H768" s="86"/>
    </row>
    <row r="769" spans="8:8">
      <c r="H769" s="86"/>
    </row>
    <row r="770" spans="8:8">
      <c r="H770" s="86"/>
    </row>
    <row r="771" spans="8:8">
      <c r="H771" s="86"/>
    </row>
    <row r="772" spans="8:8">
      <c r="H772" s="86"/>
    </row>
    <row r="773" spans="8:8">
      <c r="H773" s="86"/>
    </row>
    <row r="774" spans="8:8">
      <c r="H774" s="86"/>
    </row>
    <row r="775" spans="8:8">
      <c r="H775" s="86"/>
    </row>
    <row r="776" spans="8:8">
      <c r="H776" s="86"/>
    </row>
    <row r="777" spans="8:8">
      <c r="H777" s="86"/>
    </row>
    <row r="778" spans="8:8">
      <c r="H778" s="86"/>
    </row>
    <row r="779" spans="8:8">
      <c r="H779" s="86"/>
    </row>
    <row r="780" spans="8:8">
      <c r="H780" s="86"/>
    </row>
    <row r="781" spans="8:8">
      <c r="H781" s="86"/>
    </row>
    <row r="782" spans="8:8">
      <c r="H782" s="86"/>
    </row>
    <row r="783" spans="8:8">
      <c r="H783" s="86"/>
    </row>
    <row r="784" spans="8:8">
      <c r="H784" s="86"/>
    </row>
    <row r="785" spans="8:8">
      <c r="H785" s="86"/>
    </row>
    <row r="786" spans="8:8">
      <c r="H786" s="86"/>
    </row>
    <row r="787" spans="8:8">
      <c r="H787" s="86"/>
    </row>
    <row r="788" spans="8:8">
      <c r="H788" s="86"/>
    </row>
    <row r="789" spans="8:8">
      <c r="H789" s="86"/>
    </row>
    <row r="790" spans="8:8">
      <c r="H790" s="86"/>
    </row>
    <row r="791" spans="8:8">
      <c r="H791" s="86"/>
    </row>
    <row r="792" spans="8:8">
      <c r="H792" s="86"/>
    </row>
  </sheetData>
  <sheetProtection sheet="1" objects="1" scenarios="1"/>
  <autoFilter ref="G1:I160" xr:uid="{CEE4155B-BCA7-4DE2-BB9E-621B987FCDD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B231-ABAB-45B9-9706-C8A6784FDDF4}">
  <sheetPr codeName="Sheet5"/>
  <dimension ref="A1:H33"/>
  <sheetViews>
    <sheetView workbookViewId="0">
      <pane ySplit="1" topLeftCell="A27" activePane="bottomLeft" state="frozen"/>
      <selection pane="bottomLeft" activeCell="A32" sqref="A32"/>
    </sheetView>
  </sheetViews>
  <sheetFormatPr defaultRowHeight="14.4"/>
  <cols>
    <col min="1" max="1" width="16.77734375" customWidth="1"/>
    <col min="2" max="2" width="13.77734375" customWidth="1"/>
    <col min="3" max="3" width="17.6640625" style="155" customWidth="1"/>
    <col min="4" max="4" width="20.44140625" style="155" customWidth="1"/>
    <col min="5" max="5" width="15.6640625" style="155" customWidth="1"/>
    <col min="6" max="6" width="14.6640625" style="155" customWidth="1"/>
    <col min="7" max="7" width="15.77734375" style="153" customWidth="1"/>
    <col min="8" max="8" width="21.21875" customWidth="1"/>
  </cols>
  <sheetData>
    <row r="1" spans="1:8">
      <c r="A1" s="57" t="s">
        <v>69</v>
      </c>
      <c r="B1" s="57" t="s">
        <v>84</v>
      </c>
      <c r="C1" s="154" t="s">
        <v>85</v>
      </c>
      <c r="D1" s="154" t="s">
        <v>86</v>
      </c>
      <c r="E1" s="154" t="s">
        <v>87</v>
      </c>
      <c r="F1" s="154" t="s">
        <v>88</v>
      </c>
      <c r="G1" s="156" t="s">
        <v>89</v>
      </c>
      <c r="H1" t="s">
        <v>357</v>
      </c>
    </row>
    <row r="2" spans="1:8" ht="15.6">
      <c r="A2" s="9">
        <v>1996</v>
      </c>
      <c r="B2" t="s">
        <v>50</v>
      </c>
      <c r="C2" s="155">
        <f>DEQ!E5/DEQ!$L$3</f>
        <v>1.5931999999999999E-5</v>
      </c>
      <c r="D2" s="155">
        <f>DEQ!F5/DEQ!$L$3</f>
        <v>1.1630000000000001E-6</v>
      </c>
      <c r="E2" s="155">
        <f>DEQ!G5/DEQ!$L$3</f>
        <v>1.548E-6</v>
      </c>
      <c r="F2" s="155">
        <f>DEQ!H5/DEQ!$L$3</f>
        <v>3.912E-6</v>
      </c>
      <c r="G2" s="153">
        <f>DEQ!I5/DEQ!M3</f>
        <v>1.125E-2</v>
      </c>
    </row>
    <row r="3" spans="1:8" ht="15.6">
      <c r="A3" s="9">
        <f>A2+1</f>
        <v>1997</v>
      </c>
      <c r="B3" t="s">
        <v>50</v>
      </c>
      <c r="C3" s="155">
        <f>DEQ!E8/DEQ!$L$3</f>
        <v>1.5931999999999999E-5</v>
      </c>
      <c r="D3" s="155">
        <f>DEQ!F8/DEQ!$L$3</f>
        <v>1.1630000000000001E-6</v>
      </c>
      <c r="E3" s="155">
        <f>DEQ!G8/DEQ!$L$3</f>
        <v>1.548E-6</v>
      </c>
      <c r="F3" s="155">
        <f>DEQ!H8/DEQ!$L$3</f>
        <v>3.912E-6</v>
      </c>
      <c r="G3" s="153">
        <f>$G$2</f>
        <v>1.125E-2</v>
      </c>
    </row>
    <row r="4" spans="1:8" ht="15.6">
      <c r="A4" s="9">
        <f t="shared" ref="A4:A25" si="0">A3+1</f>
        <v>1998</v>
      </c>
      <c r="B4" t="s">
        <v>50</v>
      </c>
      <c r="C4" s="155">
        <f>DEQ!E11/DEQ!$L$3</f>
        <v>1.4762999999999999E-5</v>
      </c>
      <c r="D4" s="155">
        <f>DEQ!F11/DEQ!$L$3</f>
        <v>5.37E-7</v>
      </c>
      <c r="E4" s="155">
        <f>DEQ!G11/DEQ!$L$3</f>
        <v>1.548E-6</v>
      </c>
      <c r="F4" s="155">
        <f>DEQ!H11/DEQ!$L$3</f>
        <v>3.912E-6</v>
      </c>
      <c r="G4" s="153">
        <f>$G$2</f>
        <v>1.125E-2</v>
      </c>
    </row>
    <row r="5" spans="1:8" ht="15.6">
      <c r="A5" s="9">
        <f t="shared" si="0"/>
        <v>1999</v>
      </c>
      <c r="B5" t="s">
        <v>50</v>
      </c>
      <c r="C5" s="155">
        <f>DEQ!E14/DEQ!$L$3</f>
        <v>8.1000000000000004E-6</v>
      </c>
      <c r="D5" s="155">
        <f>DEQ!F14/DEQ!$L$3</f>
        <v>5.37E-7</v>
      </c>
      <c r="E5" s="155">
        <f>DEQ!G14/DEQ!$L$3</f>
        <v>1.548E-6</v>
      </c>
      <c r="F5" s="155">
        <f>DEQ!H14/DEQ!$L$3</f>
        <v>3.912E-6</v>
      </c>
      <c r="G5" s="153">
        <f t="shared" ref="G5:G28" si="1">$G$2</f>
        <v>1.125E-2</v>
      </c>
    </row>
    <row r="6" spans="1:8" ht="15.6">
      <c r="A6" s="9">
        <f t="shared" si="0"/>
        <v>2000</v>
      </c>
      <c r="B6" t="s">
        <v>50</v>
      </c>
      <c r="C6" s="155">
        <f>DEQ!E17/DEQ!$L$3</f>
        <v>8.1000000000000004E-6</v>
      </c>
      <c r="D6" s="155">
        <f>DEQ!F17/DEQ!$L$3</f>
        <v>5.37E-7</v>
      </c>
      <c r="E6" s="155">
        <f>DEQ!G17/DEQ!$L$3</f>
        <v>1.548E-6</v>
      </c>
      <c r="F6" s="155">
        <f>DEQ!H17/DEQ!$L$3</f>
        <v>3.912E-6</v>
      </c>
      <c r="G6" s="153">
        <f t="shared" si="1"/>
        <v>1.125E-2</v>
      </c>
      <c r="H6" t="s">
        <v>51</v>
      </c>
    </row>
    <row r="7" spans="1:8" ht="15.6">
      <c r="A7" s="9">
        <f t="shared" si="0"/>
        <v>2001</v>
      </c>
      <c r="B7" t="s">
        <v>50</v>
      </c>
      <c r="C7" s="155">
        <f>DEQ!E20/DEQ!$L$3</f>
        <v>8.1000000000000004E-6</v>
      </c>
      <c r="D7" s="155">
        <f>DEQ!F20/DEQ!$L$3</f>
        <v>5.37E-7</v>
      </c>
      <c r="E7" s="155">
        <f>DEQ!G20/DEQ!$L$3</f>
        <v>1.548E-6</v>
      </c>
      <c r="F7" s="155">
        <f>DEQ!H20/DEQ!$L$3</f>
        <v>3.912E-6</v>
      </c>
      <c r="G7" s="153">
        <f t="shared" si="1"/>
        <v>1.125E-2</v>
      </c>
    </row>
    <row r="8" spans="1:8" ht="15.6">
      <c r="A8" s="9">
        <f t="shared" si="0"/>
        <v>2002</v>
      </c>
      <c r="B8" t="s">
        <v>50</v>
      </c>
      <c r="C8" s="155">
        <f>DEQ!E23/DEQ!$L$3</f>
        <v>6.4779999999999996E-6</v>
      </c>
      <c r="D8" s="155">
        <f>DEQ!F23/DEQ!$L$3</f>
        <v>4.8399999999999994E-7</v>
      </c>
      <c r="E8" s="155">
        <f>DEQ!G23/DEQ!$L$3</f>
        <v>8.1699999999999997E-7</v>
      </c>
      <c r="F8" s="155">
        <f>DEQ!H23/DEQ!$L$3</f>
        <v>3.0739999999999997E-6</v>
      </c>
      <c r="G8" s="153">
        <f t="shared" si="1"/>
        <v>1.125E-2</v>
      </c>
    </row>
    <row r="9" spans="1:8" ht="15.6">
      <c r="A9" s="9">
        <f t="shared" si="0"/>
        <v>2003</v>
      </c>
      <c r="B9" t="s">
        <v>50</v>
      </c>
      <c r="C9" s="155">
        <f>DEQ!E26/DEQ!$L$3</f>
        <v>6.4779999999999996E-6</v>
      </c>
      <c r="D9" s="155">
        <f>DEQ!F26/DEQ!$L$3</f>
        <v>4.8399999999999994E-7</v>
      </c>
      <c r="E9" s="155">
        <f>DEQ!G26/DEQ!$L$3</f>
        <v>8.1699999999999997E-7</v>
      </c>
      <c r="F9" s="155">
        <f>DEQ!H26/DEQ!$L$3</f>
        <v>3.0739999999999997E-6</v>
      </c>
      <c r="G9" s="153">
        <f t="shared" si="1"/>
        <v>1.125E-2</v>
      </c>
    </row>
    <row r="10" spans="1:8" ht="15.6">
      <c r="A10" s="9">
        <f t="shared" si="0"/>
        <v>2004</v>
      </c>
      <c r="B10" t="s">
        <v>50</v>
      </c>
      <c r="C10" s="155">
        <f>DEQ!E29/DEQ!$L$3</f>
        <v>6.4779999999999996E-6</v>
      </c>
      <c r="D10" s="155">
        <f>DEQ!F29/DEQ!$L$3</f>
        <v>4.8399999999999994E-7</v>
      </c>
      <c r="E10" s="155">
        <f>DEQ!G29/DEQ!$L$3</f>
        <v>8.1699999999999997E-7</v>
      </c>
      <c r="F10" s="155">
        <f>DEQ!H29/DEQ!$L$3</f>
        <v>3.0739999999999997E-6</v>
      </c>
      <c r="G10" s="153">
        <f t="shared" si="1"/>
        <v>1.125E-2</v>
      </c>
    </row>
    <row r="11" spans="1:8" ht="15.6">
      <c r="A11" s="9">
        <f t="shared" si="0"/>
        <v>2005</v>
      </c>
      <c r="B11" t="s">
        <v>50</v>
      </c>
      <c r="C11" s="155">
        <f>DEQ!E32/DEQ!$L$3</f>
        <v>6.4779999999999996E-6</v>
      </c>
      <c r="D11" s="155">
        <f>DEQ!F32/DEQ!$L$3</f>
        <v>4.8399999999999994E-7</v>
      </c>
      <c r="E11" s="155">
        <f>DEQ!G32/DEQ!$L$3</f>
        <v>8.1699999999999997E-7</v>
      </c>
      <c r="F11" s="155">
        <f>DEQ!H32/DEQ!$L$3</f>
        <v>3.0739999999999997E-6</v>
      </c>
      <c r="G11" s="153">
        <f t="shared" si="1"/>
        <v>1.125E-2</v>
      </c>
    </row>
    <row r="12" spans="1:8" ht="15.6">
      <c r="A12" s="9">
        <f t="shared" si="0"/>
        <v>2006</v>
      </c>
      <c r="B12" t="s">
        <v>50</v>
      </c>
      <c r="C12" s="155">
        <f>DEQ!E35/DEQ!$L$3</f>
        <v>6.4779999999999996E-6</v>
      </c>
      <c r="D12" s="155">
        <f>DEQ!F35/DEQ!$L$3</f>
        <v>4.8399999999999994E-7</v>
      </c>
      <c r="E12" s="155">
        <f>DEQ!G35/DEQ!$L$3</f>
        <v>8.1699999999999997E-7</v>
      </c>
      <c r="F12" s="155">
        <f>DEQ!H35/DEQ!$L$3</f>
        <v>3.0739999999999997E-6</v>
      </c>
      <c r="G12" s="153">
        <f t="shared" si="1"/>
        <v>1.125E-2</v>
      </c>
    </row>
    <row r="13" spans="1:8" ht="15.6">
      <c r="A13" s="9">
        <f t="shared" si="0"/>
        <v>2007</v>
      </c>
      <c r="B13" t="s">
        <v>50</v>
      </c>
      <c r="C13" s="155">
        <f>DEQ!E38/DEQ!$L$3</f>
        <v>3.236E-6</v>
      </c>
      <c r="D13" s="155">
        <f>DEQ!F38/DEQ!$L$3</f>
        <v>1.8999999999999998E-8</v>
      </c>
      <c r="E13" s="155">
        <f>DEQ!G38/DEQ!$L$3</f>
        <v>1.5800000000000001E-7</v>
      </c>
      <c r="F13" s="155">
        <f>DEQ!H38/DEQ!$L$3</f>
        <v>6.0699999999999997E-7</v>
      </c>
      <c r="G13" s="153">
        <f>$G$2</f>
        <v>1.125E-2</v>
      </c>
    </row>
    <row r="14" spans="1:8" ht="15.6">
      <c r="A14" s="9">
        <f t="shared" si="0"/>
        <v>2008</v>
      </c>
      <c r="B14" t="s">
        <v>50</v>
      </c>
      <c r="C14" s="155">
        <f>DEQ!E41/DEQ!$L$3</f>
        <v>3.236E-6</v>
      </c>
      <c r="D14" s="155">
        <f>DEQ!F41/DEQ!$L$3</f>
        <v>1.8999999999999998E-8</v>
      </c>
      <c r="E14" s="155">
        <f>DEQ!G41/DEQ!$L$3</f>
        <v>1.5800000000000001E-7</v>
      </c>
      <c r="F14" s="155">
        <f>DEQ!H41/DEQ!$L$3</f>
        <v>6.0699999999999997E-7</v>
      </c>
      <c r="G14" s="153">
        <f t="shared" si="1"/>
        <v>1.125E-2</v>
      </c>
    </row>
    <row r="15" spans="1:8" ht="15.6">
      <c r="A15" s="9">
        <f t="shared" si="0"/>
        <v>2009</v>
      </c>
      <c r="B15" t="s">
        <v>50</v>
      </c>
      <c r="C15" s="155">
        <f>DEQ!E44/DEQ!$L$3</f>
        <v>3.236E-6</v>
      </c>
      <c r="D15" s="155">
        <f>DEQ!F44/DEQ!$L$3</f>
        <v>1.8999999999999998E-8</v>
      </c>
      <c r="E15" s="155">
        <f>DEQ!G44/DEQ!$L$3</f>
        <v>1.5800000000000001E-7</v>
      </c>
      <c r="F15" s="155">
        <f>DEQ!H44/DEQ!$L$3</f>
        <v>6.0699999999999997E-7</v>
      </c>
      <c r="G15" s="153">
        <f t="shared" si="1"/>
        <v>1.125E-2</v>
      </c>
    </row>
    <row r="16" spans="1:8" ht="15.6">
      <c r="A16" s="9">
        <f>A15+1</f>
        <v>2010</v>
      </c>
      <c r="B16" t="s">
        <v>50</v>
      </c>
      <c r="C16" s="155">
        <f>DEQ!E47/DEQ!$L$3</f>
        <v>1.1489999999999999E-6</v>
      </c>
      <c r="D16" s="155">
        <f>DEQ!F47/DEQ!$L$3</f>
        <v>1.7999999999999999E-8</v>
      </c>
      <c r="E16" s="155">
        <f>DEQ!G47/DEQ!$L$3</f>
        <v>8.899999999999999E-8</v>
      </c>
      <c r="F16" s="155">
        <f>DEQ!H47/DEQ!$L$3</f>
        <v>3.4399999999999996E-7</v>
      </c>
      <c r="G16" s="153">
        <f t="shared" si="1"/>
        <v>1.125E-2</v>
      </c>
    </row>
    <row r="17" spans="1:8" ht="15.6">
      <c r="A17" s="9">
        <f t="shared" si="0"/>
        <v>2011</v>
      </c>
      <c r="B17" t="s">
        <v>50</v>
      </c>
      <c r="C17" s="155">
        <f>DEQ!E50/DEQ!$L$3</f>
        <v>1.1489999999999999E-6</v>
      </c>
      <c r="D17" s="155">
        <f>DEQ!F50/DEQ!$L$3</f>
        <v>1.7999999999999999E-8</v>
      </c>
      <c r="E17" s="155">
        <f>DEQ!G50/DEQ!$L$3</f>
        <v>8.899999999999999E-8</v>
      </c>
      <c r="F17" s="155">
        <f>DEQ!H50/DEQ!$L$3</f>
        <v>3.4399999999999996E-7</v>
      </c>
      <c r="G17" s="153">
        <f t="shared" si="1"/>
        <v>1.125E-2</v>
      </c>
    </row>
    <row r="18" spans="1:8" ht="15.6">
      <c r="A18" s="9">
        <f t="shared" si="0"/>
        <v>2012</v>
      </c>
      <c r="B18" t="s">
        <v>50</v>
      </c>
      <c r="C18" s="155">
        <f>DEQ!E53/DEQ!$L$3</f>
        <v>1.1489999999999999E-6</v>
      </c>
      <c r="D18" s="155">
        <f>DEQ!F53/DEQ!$L$3</f>
        <v>1.7999999999999999E-8</v>
      </c>
      <c r="E18" s="155">
        <f>DEQ!G53/DEQ!$L$3</f>
        <v>8.899999999999999E-8</v>
      </c>
      <c r="F18" s="155">
        <f>DEQ!H53/DEQ!$L$3</f>
        <v>3.4399999999999996E-7</v>
      </c>
      <c r="G18" s="153">
        <f t="shared" si="1"/>
        <v>1.125E-2</v>
      </c>
    </row>
    <row r="19" spans="1:8" ht="15.6">
      <c r="A19" s="9">
        <f t="shared" si="0"/>
        <v>2013</v>
      </c>
      <c r="B19" t="s">
        <v>50</v>
      </c>
      <c r="C19" s="155">
        <f>DEQ!E56/DEQ!$L$3</f>
        <v>1.0240000000000001E-6</v>
      </c>
      <c r="D19" s="155">
        <f>DEQ!F56/DEQ!$L$3</f>
        <v>1.6000000000000001E-8</v>
      </c>
      <c r="E19" s="155">
        <f>DEQ!G56/DEQ!$L$3</f>
        <v>8.4000000000000011E-8</v>
      </c>
      <c r="F19" s="155">
        <f>DEQ!H56/DEQ!$L$3</f>
        <v>3.2500000000000001E-7</v>
      </c>
      <c r="G19" s="153">
        <f t="shared" si="1"/>
        <v>1.125E-2</v>
      </c>
    </row>
    <row r="20" spans="1:8" ht="15.6">
      <c r="A20" s="9">
        <f t="shared" si="0"/>
        <v>2014</v>
      </c>
      <c r="B20" t="s">
        <v>50</v>
      </c>
      <c r="C20" s="155">
        <f>DEQ!E59/DEQ!$L$3</f>
        <v>1.018E-6</v>
      </c>
      <c r="D20" s="155">
        <f>DEQ!F59/DEQ!$L$3</f>
        <v>1.6000000000000001E-8</v>
      </c>
      <c r="E20" s="155">
        <f>DEQ!G59/DEQ!$L$3</f>
        <v>8.4000000000000011E-8</v>
      </c>
      <c r="F20" s="155">
        <f>DEQ!H59/DEQ!$L$3</f>
        <v>3.2399999999999999E-7</v>
      </c>
      <c r="G20" s="153">
        <f t="shared" si="1"/>
        <v>1.125E-2</v>
      </c>
    </row>
    <row r="21" spans="1:8" ht="15.6">
      <c r="A21" s="9">
        <f t="shared" si="0"/>
        <v>2015</v>
      </c>
      <c r="B21" t="s">
        <v>50</v>
      </c>
      <c r="C21" s="155">
        <f>DEQ!E62/DEQ!$L$3</f>
        <v>1.018E-6</v>
      </c>
      <c r="D21" s="155">
        <f>DEQ!F62/DEQ!$L$3</f>
        <v>1.6000000000000001E-8</v>
      </c>
      <c r="E21" s="155">
        <f>DEQ!G62/DEQ!$L$3</f>
        <v>8.2000000000000006E-8</v>
      </c>
      <c r="F21" s="155">
        <f>DEQ!H62/DEQ!$L$3</f>
        <v>3.1399999999999998E-7</v>
      </c>
      <c r="G21" s="153">
        <f t="shared" si="1"/>
        <v>1.125E-2</v>
      </c>
    </row>
    <row r="22" spans="1:8" ht="15.6">
      <c r="A22" s="9">
        <f t="shared" si="0"/>
        <v>2016</v>
      </c>
      <c r="B22" t="s">
        <v>50</v>
      </c>
      <c r="C22" s="155">
        <f>DEQ!E65/DEQ!$L$3</f>
        <v>9.5600000000000004E-7</v>
      </c>
      <c r="D22" s="155">
        <f>DEQ!F65/DEQ!$L$3</f>
        <v>1.4999999999999999E-8</v>
      </c>
      <c r="E22" s="155">
        <f>DEQ!G65/DEQ!$L$3</f>
        <v>8.2000000000000006E-8</v>
      </c>
      <c r="F22" s="155">
        <f>DEQ!H65/DEQ!$L$3</f>
        <v>3.1399999999999998E-7</v>
      </c>
      <c r="G22" s="153">
        <f t="shared" si="1"/>
        <v>1.125E-2</v>
      </c>
    </row>
    <row r="23" spans="1:8" ht="15.6">
      <c r="A23" s="9">
        <f t="shared" si="0"/>
        <v>2017</v>
      </c>
      <c r="B23" t="s">
        <v>50</v>
      </c>
      <c r="C23" s="155">
        <f>DEQ!E68/DEQ!$L$3</f>
        <v>9.5600000000000004E-7</v>
      </c>
      <c r="D23" s="155">
        <f>DEQ!F68/DEQ!$L$3</f>
        <v>1.4999999999999999E-8</v>
      </c>
      <c r="E23" s="155">
        <f>DEQ!G68/DEQ!$L$3</f>
        <v>8.2000000000000006E-8</v>
      </c>
      <c r="F23" s="155">
        <f>DEQ!H68/DEQ!$L$3</f>
        <v>3.1399999999999998E-7</v>
      </c>
      <c r="G23" s="153">
        <f t="shared" si="1"/>
        <v>1.125E-2</v>
      </c>
    </row>
    <row r="24" spans="1:8" ht="15.6">
      <c r="A24" s="9">
        <f t="shared" si="0"/>
        <v>2018</v>
      </c>
      <c r="B24" t="s">
        <v>50</v>
      </c>
      <c r="C24" s="155">
        <f>DEQ!E71/DEQ!$L$3</f>
        <v>6.7300000000000006E-7</v>
      </c>
      <c r="D24" s="155">
        <f>DEQ!F71/DEQ!$L$3</f>
        <v>1.0999999999999999E-8</v>
      </c>
      <c r="E24" s="155">
        <f>DEQ!G71/DEQ!$L$3</f>
        <v>7.0000000000000005E-8</v>
      </c>
      <c r="F24" s="155">
        <f>DEQ!H71/DEQ!$L$3</f>
        <v>2.7000000000000001E-7</v>
      </c>
      <c r="G24" s="153">
        <f t="shared" si="1"/>
        <v>1.125E-2</v>
      </c>
    </row>
    <row r="25" spans="1:8" ht="15.6">
      <c r="A25" s="9">
        <f t="shared" si="0"/>
        <v>2019</v>
      </c>
      <c r="B25" t="s">
        <v>50</v>
      </c>
      <c r="C25" s="155">
        <f>DEQ!E74/DEQ!$L$3</f>
        <v>6.7300000000000006E-7</v>
      </c>
      <c r="D25" s="155">
        <f>DEQ!F74/DEQ!$L$3</f>
        <v>1.0999999999999999E-8</v>
      </c>
      <c r="E25" s="155">
        <f>DEQ!G74/DEQ!$L$3</f>
        <v>7.0000000000000005E-8</v>
      </c>
      <c r="F25" s="155">
        <f>DEQ!H74/DEQ!$L$3</f>
        <v>2.7000000000000001E-7</v>
      </c>
      <c r="G25" s="153">
        <f t="shared" si="1"/>
        <v>1.125E-2</v>
      </c>
    </row>
    <row r="26" spans="1:8" ht="15.6">
      <c r="A26" s="9">
        <f>A25+1</f>
        <v>2020</v>
      </c>
      <c r="B26" t="s">
        <v>50</v>
      </c>
      <c r="C26" s="155">
        <f>DEQ!E77/DEQ!$L$3</f>
        <v>6.7300000000000006E-7</v>
      </c>
      <c r="D26" s="155">
        <f>DEQ!F77/DEQ!$L$3</f>
        <v>1.0999999999999999E-8</v>
      </c>
      <c r="E26" s="155">
        <f>DEQ!G77/DEQ!$L$3</f>
        <v>7.0000000000000005E-8</v>
      </c>
      <c r="F26" s="155">
        <f>DEQ!H77/DEQ!$L$3</f>
        <v>2.7000000000000001E-7</v>
      </c>
      <c r="G26" s="153">
        <f t="shared" si="1"/>
        <v>1.125E-2</v>
      </c>
    </row>
    <row r="27" spans="1:8" ht="15.6">
      <c r="A27" s="9">
        <f>A26+1</f>
        <v>2021</v>
      </c>
      <c r="B27" t="s">
        <v>50</v>
      </c>
      <c r="C27" s="155">
        <f>DEQ!E80/DEQ!$L$3</f>
        <v>6.7300000000000006E-7</v>
      </c>
      <c r="D27" s="155">
        <f>DEQ!F80/DEQ!$L$3</f>
        <v>1.0999999999999999E-8</v>
      </c>
      <c r="E27" s="155">
        <f>DEQ!G80/DEQ!$L$3</f>
        <v>7.0000000000000005E-8</v>
      </c>
      <c r="F27" s="155">
        <f>DEQ!H80/DEQ!$L$3</f>
        <v>2.7000000000000001E-7</v>
      </c>
      <c r="G27" s="153">
        <f t="shared" si="1"/>
        <v>1.125E-2</v>
      </c>
      <c r="H27" t="s">
        <v>51</v>
      </c>
    </row>
    <row r="28" spans="1:8" ht="15.6">
      <c r="A28" s="9">
        <f>A27+1</f>
        <v>2022</v>
      </c>
      <c r="B28" t="s">
        <v>50</v>
      </c>
      <c r="C28" s="155">
        <f>DEQ!E83/DEQ!$L$3</f>
        <v>6.7300000000000006E-7</v>
      </c>
      <c r="D28" s="155">
        <f>DEQ!F83/DEQ!$L$3</f>
        <v>1.0999999999999999E-8</v>
      </c>
      <c r="E28" s="155">
        <f>DEQ!G83/DEQ!$L$3</f>
        <v>7.0000000000000005E-8</v>
      </c>
      <c r="F28" s="155">
        <f>DEQ!H83/DEQ!$L$3</f>
        <v>2.7000000000000001E-7</v>
      </c>
      <c r="G28" s="153">
        <f t="shared" si="1"/>
        <v>1.125E-2</v>
      </c>
    </row>
    <row r="29" spans="1:8" ht="15.6">
      <c r="A29" s="9" t="s">
        <v>319</v>
      </c>
      <c r="B29" t="s">
        <v>319</v>
      </c>
      <c r="C29" s="155">
        <f>DEQ!E86/DEQ!$L$3</f>
        <v>4.1000000000000036E-8</v>
      </c>
      <c r="D29" s="155">
        <f>DEQ!F86/DEQ!$L$3</f>
        <v>1E-8</v>
      </c>
      <c r="E29" s="155">
        <f>DEQ!G86/DEQ!$L$3</f>
        <v>7.0000000000000005E-8</v>
      </c>
      <c r="F29" s="155">
        <f>DEQ!H86/DEQ!$L$3</f>
        <v>5.9450000000000007E-6</v>
      </c>
      <c r="G29" s="153">
        <f>DEQ!I86/DEQ!$M$3</f>
        <v>1.0038E-2</v>
      </c>
      <c r="H29" t="s">
        <v>78</v>
      </c>
    </row>
    <row r="30" spans="1:8" ht="15.6">
      <c r="A30" s="9" t="s">
        <v>62</v>
      </c>
      <c r="B30" t="s">
        <v>62</v>
      </c>
      <c r="C30" s="155">
        <f>DEQ!E89/DEQ!$L$3</f>
        <v>4.1000000000000003E-8</v>
      </c>
      <c r="D30" s="155">
        <f>DEQ!F89/DEQ!$L$3</f>
        <v>1.0999999999999999E-8</v>
      </c>
      <c r="E30" s="155">
        <f>DEQ!G89/DEQ!$L$3</f>
        <v>7.0000000000000005E-8</v>
      </c>
      <c r="F30" s="155">
        <f>DEQ!H89/DEQ!$L$3</f>
        <v>5.9459999999999995E-6</v>
      </c>
      <c r="G30" s="153">
        <f>DEQ!I89/DEQ!$M$3</f>
        <v>1.125E-2</v>
      </c>
      <c r="H30" t="s">
        <v>90</v>
      </c>
    </row>
    <row r="31" spans="1:8" ht="15.6">
      <c r="A31" s="9" t="s">
        <v>320</v>
      </c>
      <c r="B31" t="s">
        <v>320</v>
      </c>
      <c r="C31" s="155">
        <f>DEQ!E892/DEQ!$L$3</f>
        <v>0</v>
      </c>
      <c r="D31" s="155">
        <f>DEQ!F892/DEQ!$L$3</f>
        <v>0</v>
      </c>
      <c r="E31" s="155">
        <f>DEQ!G892/DEQ!$L$3</f>
        <v>0</v>
      </c>
      <c r="F31" s="155">
        <f>DEQ!H892/DEQ!$L$3</f>
        <v>0</v>
      </c>
      <c r="G31" s="153">
        <f>DEQ!I892/DEQ!$M$3</f>
        <v>0</v>
      </c>
    </row>
    <row r="32" spans="1:8" ht="15.6">
      <c r="A32" s="9" t="s">
        <v>354</v>
      </c>
      <c r="B32" t="s">
        <v>354</v>
      </c>
      <c r="C32" s="155">
        <f>DEQ!E893/DEQ!$L$3</f>
        <v>0</v>
      </c>
      <c r="D32" s="155">
        <f>DEQ!F893/DEQ!$L$3</f>
        <v>0</v>
      </c>
      <c r="E32" s="155">
        <f>DEQ!G893/DEQ!$L$3</f>
        <v>0</v>
      </c>
      <c r="F32" s="155">
        <f>DEQ!H893/DEQ!$L$3</f>
        <v>0</v>
      </c>
      <c r="G32" s="153">
        <f>DEQ!I893/DEQ!$M$3</f>
        <v>0</v>
      </c>
    </row>
    <row r="33" spans="1:1" ht="15.6">
      <c r="A33" s="9"/>
    </row>
  </sheetData>
  <sheetProtection sheet="1" objects="1" scenarios="1"/>
  <phoneticPr fontId="8"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FA19-F9E1-4E51-9F33-0F4816B9A270}">
  <sheetPr codeName="Sheet6" filterMode="1"/>
  <dimension ref="A1:N97"/>
  <sheetViews>
    <sheetView topLeftCell="B71" workbookViewId="0">
      <selection activeCell="C98" sqref="C98"/>
    </sheetView>
  </sheetViews>
  <sheetFormatPr defaultRowHeight="18.45" customHeight="1"/>
  <cols>
    <col min="1" max="1" width="8.77734375"/>
    <col min="3" max="3" width="14.77734375" customWidth="1"/>
    <col min="4" max="4" width="42.88671875" customWidth="1"/>
    <col min="10" max="10" width="9.77734375" bestFit="1" customWidth="1"/>
    <col min="11" max="11" width="12.6640625" customWidth="1"/>
    <col min="12" max="12" width="18.44140625" style="11" customWidth="1"/>
    <col min="13" max="13" width="8.77734375" style="11"/>
  </cols>
  <sheetData>
    <row r="1" spans="1:14" ht="18.45" customHeight="1">
      <c r="L1" s="12" t="s">
        <v>83</v>
      </c>
      <c r="M1" s="13" t="s">
        <v>79</v>
      </c>
      <c r="N1" s="14" t="s">
        <v>80</v>
      </c>
    </row>
    <row r="2" spans="1:14" ht="18.45" customHeight="1" thickBot="1">
      <c r="I2" s="49"/>
      <c r="L2" s="15" t="s">
        <v>81</v>
      </c>
      <c r="M2" s="16" t="s">
        <v>82</v>
      </c>
      <c r="N2" s="17" t="s">
        <v>82</v>
      </c>
    </row>
    <row r="3" spans="1:14" ht="18.45" customHeight="1" thickBot="1">
      <c r="J3" t="s">
        <v>325</v>
      </c>
      <c r="L3" s="18">
        <v>1000000</v>
      </c>
      <c r="M3" s="19">
        <v>100000</v>
      </c>
      <c r="N3" s="20">
        <v>1</v>
      </c>
    </row>
    <row r="4" spans="1:14" ht="18.45" customHeight="1" thickBot="1">
      <c r="A4" t="s">
        <v>80</v>
      </c>
      <c r="B4" t="s">
        <v>79</v>
      </c>
      <c r="C4" t="s">
        <v>84</v>
      </c>
      <c r="E4" s="56" t="s">
        <v>76</v>
      </c>
      <c r="F4" s="56" t="s">
        <v>70</v>
      </c>
      <c r="G4" s="56" t="s">
        <v>71</v>
      </c>
      <c r="H4" s="56" t="s">
        <v>72</v>
      </c>
      <c r="I4" s="56" t="s">
        <v>77</v>
      </c>
      <c r="J4" s="56" t="s">
        <v>78</v>
      </c>
      <c r="L4" s="319" t="s">
        <v>293</v>
      </c>
      <c r="M4" s="319"/>
      <c r="N4" s="319"/>
    </row>
    <row r="5" spans="1:14" ht="18.45" customHeight="1" thickBot="1">
      <c r="A5">
        <v>2020</v>
      </c>
      <c r="B5" s="21">
        <v>1996</v>
      </c>
      <c r="C5" t="s">
        <v>50</v>
      </c>
      <c r="D5" s="55" t="s">
        <v>73</v>
      </c>
      <c r="E5" s="24">
        <v>15.932</v>
      </c>
      <c r="F5" s="24">
        <v>1.163</v>
      </c>
      <c r="G5" s="24">
        <v>1.548</v>
      </c>
      <c r="H5" s="24">
        <v>3.9119999999999999</v>
      </c>
      <c r="I5" s="25">
        <v>1125</v>
      </c>
      <c r="J5" s="26">
        <v>100000</v>
      </c>
      <c r="L5" s="320"/>
      <c r="M5" s="320"/>
      <c r="N5" s="320"/>
    </row>
    <row r="6" spans="1:14" ht="18.45" hidden="1" customHeight="1" thickBot="1">
      <c r="B6" s="21"/>
      <c r="C6" t="s">
        <v>50</v>
      </c>
      <c r="D6" s="55" t="s">
        <v>74</v>
      </c>
      <c r="E6" s="24">
        <v>15.263</v>
      </c>
      <c r="F6" s="24">
        <v>1.1519999999999999</v>
      </c>
      <c r="G6" s="24">
        <v>1.478</v>
      </c>
      <c r="H6" s="24">
        <v>3.6429999999999998</v>
      </c>
      <c r="I6" s="25">
        <v>1125</v>
      </c>
      <c r="J6" s="26">
        <v>99999</v>
      </c>
      <c r="L6" s="321"/>
      <c r="M6" s="321"/>
      <c r="N6" s="321"/>
    </row>
    <row r="7" spans="1:14" ht="18.45" hidden="1" customHeight="1" thickBot="1">
      <c r="B7" s="21"/>
      <c r="C7" t="s">
        <v>50</v>
      </c>
      <c r="D7" s="55" t="s">
        <v>75</v>
      </c>
      <c r="E7" s="27">
        <v>0.95799999999999996</v>
      </c>
      <c r="F7" s="27">
        <v>0.99099999999999999</v>
      </c>
      <c r="G7" s="27">
        <v>0.95499999999999996</v>
      </c>
      <c r="H7" s="27">
        <v>0.93100000000000005</v>
      </c>
      <c r="I7" s="27">
        <v>1</v>
      </c>
      <c r="J7" s="24">
        <v>100</v>
      </c>
      <c r="L7" s="321"/>
      <c r="M7" s="321"/>
      <c r="N7" s="321"/>
    </row>
    <row r="8" spans="1:14" ht="18.45" customHeight="1" thickBot="1">
      <c r="A8">
        <v>2020</v>
      </c>
      <c r="B8" s="21">
        <f>B5+1</f>
        <v>1997</v>
      </c>
      <c r="C8" t="s">
        <v>50</v>
      </c>
      <c r="D8" s="55" t="s">
        <v>73</v>
      </c>
      <c r="E8" s="24">
        <v>15.932</v>
      </c>
      <c r="F8" s="24">
        <v>1.163</v>
      </c>
      <c r="G8" s="24">
        <v>1.548</v>
      </c>
      <c r="H8" s="24">
        <v>3.9119999999999999</v>
      </c>
      <c r="I8" s="25">
        <v>1125</v>
      </c>
      <c r="J8" s="26">
        <v>100000</v>
      </c>
      <c r="L8" s="320"/>
      <c r="M8" s="320"/>
      <c r="N8" s="320"/>
    </row>
    <row r="9" spans="1:14" ht="18.45" hidden="1" customHeight="1" thickBot="1">
      <c r="B9" s="21"/>
      <c r="C9" t="s">
        <v>50</v>
      </c>
      <c r="D9" s="55" t="s">
        <v>74</v>
      </c>
      <c r="E9" s="24">
        <v>15.263</v>
      </c>
      <c r="F9" s="24">
        <v>1.1519999999999999</v>
      </c>
      <c r="G9" s="24">
        <v>1.478</v>
      </c>
      <c r="H9" s="24">
        <v>3.6419999999999999</v>
      </c>
      <c r="I9" s="25">
        <v>1125</v>
      </c>
      <c r="J9" s="26">
        <v>99999</v>
      </c>
      <c r="L9" s="321"/>
      <c r="M9" s="321"/>
      <c r="N9" s="321"/>
    </row>
    <row r="10" spans="1:14" ht="18.45" hidden="1" customHeight="1" thickBot="1">
      <c r="B10" s="21"/>
      <c r="C10" t="s">
        <v>50</v>
      </c>
      <c r="D10" s="55" t="s">
        <v>75</v>
      </c>
      <c r="E10" s="27">
        <v>0.95799999999999996</v>
      </c>
      <c r="F10" s="27">
        <v>0.99099999999999999</v>
      </c>
      <c r="G10" s="27">
        <v>0.95499999999999996</v>
      </c>
      <c r="H10" s="27">
        <v>0.93100000000000005</v>
      </c>
      <c r="I10" s="27">
        <v>1</v>
      </c>
      <c r="J10" s="27">
        <v>1</v>
      </c>
      <c r="L10" s="321"/>
      <c r="M10" s="321"/>
      <c r="N10" s="321"/>
    </row>
    <row r="11" spans="1:14" ht="18.45" customHeight="1" thickBot="1">
      <c r="A11">
        <v>2020</v>
      </c>
      <c r="B11" s="21">
        <f t="shared" ref="B11" si="0">B8+1</f>
        <v>1998</v>
      </c>
      <c r="C11" t="s">
        <v>50</v>
      </c>
      <c r="D11" s="55" t="s">
        <v>73</v>
      </c>
      <c r="E11" s="28">
        <v>14.763</v>
      </c>
      <c r="F11" s="28">
        <v>0.53700000000000003</v>
      </c>
      <c r="G11" s="28">
        <v>1.548</v>
      </c>
      <c r="H11" s="28">
        <v>3.9119999999999999</v>
      </c>
      <c r="I11" s="29">
        <v>1125</v>
      </c>
      <c r="J11" s="30">
        <v>100000</v>
      </c>
      <c r="L11" s="320"/>
      <c r="M11" s="320"/>
      <c r="N11" s="320"/>
    </row>
    <row r="12" spans="1:14" ht="18.45" hidden="1" customHeight="1" thickBot="1">
      <c r="B12" s="21"/>
      <c r="C12" t="s">
        <v>50</v>
      </c>
      <c r="D12" s="55" t="s">
        <v>74</v>
      </c>
      <c r="E12" s="28">
        <v>7.4279999999999999</v>
      </c>
      <c r="F12" s="28">
        <v>0.52700000000000002</v>
      </c>
      <c r="G12" s="28">
        <v>1.478</v>
      </c>
      <c r="H12" s="28">
        <v>3.6419999999999999</v>
      </c>
      <c r="I12" s="29">
        <v>1125</v>
      </c>
      <c r="J12" s="30">
        <v>99999</v>
      </c>
      <c r="L12" s="321"/>
      <c r="M12" s="321"/>
      <c r="N12" s="321"/>
    </row>
    <row r="13" spans="1:14" ht="18.45" hidden="1" customHeight="1" thickBot="1">
      <c r="B13" s="21"/>
      <c r="C13" t="s">
        <v>50</v>
      </c>
      <c r="D13" s="55" t="s">
        <v>75</v>
      </c>
      <c r="E13" s="31">
        <v>0.91700000000000004</v>
      </c>
      <c r="F13" s="31">
        <v>0.98099999999999998</v>
      </c>
      <c r="G13" s="31">
        <v>0.95499999999999996</v>
      </c>
      <c r="H13" s="31">
        <v>0.93100000000000005</v>
      </c>
      <c r="I13" s="31">
        <v>1</v>
      </c>
      <c r="J13" s="31">
        <v>1</v>
      </c>
      <c r="L13" s="321"/>
      <c r="M13" s="321"/>
      <c r="N13" s="321"/>
    </row>
    <row r="14" spans="1:14" ht="18.45" customHeight="1" thickBot="1">
      <c r="A14">
        <v>2020</v>
      </c>
      <c r="B14" s="21">
        <f t="shared" ref="B14" si="1">B11+1</f>
        <v>1999</v>
      </c>
      <c r="C14" t="s">
        <v>50</v>
      </c>
      <c r="D14" s="55" t="s">
        <v>73</v>
      </c>
      <c r="E14" s="28">
        <v>8.1</v>
      </c>
      <c r="F14" s="28">
        <v>0.53700000000000003</v>
      </c>
      <c r="G14" s="28">
        <v>1.548</v>
      </c>
      <c r="H14" s="28">
        <v>3.9119999999999999</v>
      </c>
      <c r="I14" s="29">
        <v>1125</v>
      </c>
      <c r="J14" s="30">
        <v>100000</v>
      </c>
      <c r="L14" s="320"/>
      <c r="M14" s="320"/>
      <c r="N14" s="320"/>
    </row>
    <row r="15" spans="1:14" ht="18.45" hidden="1" customHeight="1" thickBot="1">
      <c r="B15" s="21"/>
      <c r="C15" t="s">
        <v>50</v>
      </c>
      <c r="D15" s="55" t="s">
        <v>74</v>
      </c>
      <c r="E15" s="28">
        <v>7.4279999999999999</v>
      </c>
      <c r="F15" s="28">
        <v>0.52700000000000002</v>
      </c>
      <c r="G15" s="28">
        <v>1.478</v>
      </c>
      <c r="H15" s="28">
        <v>3.6419999999999999</v>
      </c>
      <c r="I15" s="29">
        <v>1125</v>
      </c>
      <c r="J15" s="30">
        <v>99999</v>
      </c>
    </row>
    <row r="16" spans="1:14" ht="18.45" hidden="1" customHeight="1" thickBot="1">
      <c r="B16" s="21"/>
      <c r="C16" t="s">
        <v>50</v>
      </c>
      <c r="D16" s="55" t="s">
        <v>75</v>
      </c>
      <c r="E16" s="31">
        <v>0.91700000000000004</v>
      </c>
      <c r="F16" s="31">
        <v>0.98099999999999998</v>
      </c>
      <c r="G16" s="31">
        <v>0.95499999999999996</v>
      </c>
      <c r="H16" s="31">
        <v>0.93100000000000005</v>
      </c>
      <c r="I16" s="31">
        <v>1</v>
      </c>
      <c r="J16" s="31">
        <v>1</v>
      </c>
    </row>
    <row r="17" spans="1:10" ht="18.45" customHeight="1" thickBot="1">
      <c r="A17">
        <v>2020</v>
      </c>
      <c r="B17" s="21">
        <f t="shared" ref="B17" si="2">B14+1</f>
        <v>2000</v>
      </c>
      <c r="C17" t="s">
        <v>50</v>
      </c>
      <c r="D17" s="55" t="s">
        <v>73</v>
      </c>
      <c r="E17" s="28">
        <v>8.1</v>
      </c>
      <c r="F17" s="28">
        <v>0.53700000000000003</v>
      </c>
      <c r="G17" s="28">
        <v>1.548</v>
      </c>
      <c r="H17" s="28">
        <v>3.9119999999999999</v>
      </c>
      <c r="I17" s="29">
        <v>1125</v>
      </c>
      <c r="J17" s="30">
        <v>100000</v>
      </c>
    </row>
    <row r="18" spans="1:10" ht="18.45" hidden="1" customHeight="1" thickBot="1">
      <c r="B18" s="21"/>
      <c r="C18" t="s">
        <v>50</v>
      </c>
      <c r="D18" s="55" t="s">
        <v>74</v>
      </c>
      <c r="E18" s="28">
        <v>7.4279999999999999</v>
      </c>
      <c r="F18" s="28">
        <v>0.52700000000000002</v>
      </c>
      <c r="G18" s="28">
        <v>1.478</v>
      </c>
      <c r="H18" s="28">
        <v>3.6419999999999999</v>
      </c>
      <c r="I18" s="29">
        <v>1125</v>
      </c>
      <c r="J18" s="30">
        <v>99999</v>
      </c>
    </row>
    <row r="19" spans="1:10" ht="18.45" hidden="1" customHeight="1" thickBot="1">
      <c r="B19" s="21"/>
      <c r="C19" t="s">
        <v>50</v>
      </c>
      <c r="D19" s="55" t="s">
        <v>75</v>
      </c>
      <c r="E19" s="31">
        <v>0.91700000000000004</v>
      </c>
      <c r="F19" s="31">
        <v>0.98099999999999998</v>
      </c>
      <c r="G19" s="31">
        <v>0.95499999999999996</v>
      </c>
      <c r="H19" s="31">
        <v>0.93100000000000005</v>
      </c>
      <c r="I19" s="31">
        <v>1</v>
      </c>
      <c r="J19" s="31">
        <v>1</v>
      </c>
    </row>
    <row r="20" spans="1:10" ht="18.45" customHeight="1" thickBot="1">
      <c r="A20">
        <v>2020</v>
      </c>
      <c r="B20" s="21">
        <f t="shared" ref="B20" si="3">B17+1</f>
        <v>2001</v>
      </c>
      <c r="C20" t="s">
        <v>50</v>
      </c>
      <c r="D20" s="55" t="s">
        <v>73</v>
      </c>
      <c r="E20" s="28">
        <v>8.1</v>
      </c>
      <c r="F20" s="28">
        <v>0.53700000000000003</v>
      </c>
      <c r="G20" s="28">
        <v>1.548</v>
      </c>
      <c r="H20" s="28">
        <v>3.9119999999999999</v>
      </c>
      <c r="I20" s="29">
        <v>1125</v>
      </c>
      <c r="J20" s="30">
        <v>100000</v>
      </c>
    </row>
    <row r="21" spans="1:10" ht="18.45" hidden="1" customHeight="1" thickBot="1">
      <c r="B21" s="21"/>
      <c r="C21" t="s">
        <v>50</v>
      </c>
      <c r="D21" s="55" t="s">
        <v>74</v>
      </c>
      <c r="E21" s="28">
        <v>7.4279999999999999</v>
      </c>
      <c r="F21" s="28">
        <v>0.52700000000000002</v>
      </c>
      <c r="G21" s="28">
        <v>1.478</v>
      </c>
      <c r="H21" s="28">
        <v>3.6419999999999999</v>
      </c>
      <c r="I21" s="29">
        <v>1125</v>
      </c>
      <c r="J21" s="30">
        <v>99999</v>
      </c>
    </row>
    <row r="22" spans="1:10" ht="18.45" hidden="1" customHeight="1" thickBot="1">
      <c r="B22" s="21"/>
      <c r="C22" t="s">
        <v>50</v>
      </c>
      <c r="D22" s="55" t="s">
        <v>75</v>
      </c>
      <c r="E22" s="31">
        <v>0.91700000000000004</v>
      </c>
      <c r="F22" s="31">
        <v>0.98099999999999998</v>
      </c>
      <c r="G22" s="31">
        <v>0.95499999999999996</v>
      </c>
      <c r="H22" s="31">
        <v>0.93100000000000005</v>
      </c>
      <c r="I22" s="31">
        <v>1</v>
      </c>
      <c r="J22" s="31">
        <v>1</v>
      </c>
    </row>
    <row r="23" spans="1:10" ht="18.45" customHeight="1" thickBot="1">
      <c r="A23">
        <v>2020</v>
      </c>
      <c r="B23" s="22">
        <f t="shared" ref="B23" si="4">B20+1</f>
        <v>2002</v>
      </c>
      <c r="C23" t="s">
        <v>50</v>
      </c>
      <c r="D23" s="55" t="s">
        <v>73</v>
      </c>
      <c r="E23" s="32">
        <v>6.4779999999999998</v>
      </c>
      <c r="F23" s="32">
        <v>0.48399999999999999</v>
      </c>
      <c r="G23" s="32">
        <v>0.81699999999999995</v>
      </c>
      <c r="H23" s="32">
        <v>3.0739999999999998</v>
      </c>
      <c r="I23" s="33">
        <v>1125</v>
      </c>
      <c r="J23" s="34">
        <v>100000</v>
      </c>
    </row>
    <row r="24" spans="1:10" ht="18.45" hidden="1" customHeight="1" thickBot="1">
      <c r="B24" s="22"/>
      <c r="C24" t="s">
        <v>50</v>
      </c>
      <c r="D24" s="55" t="s">
        <v>74</v>
      </c>
      <c r="E24" s="28">
        <v>7.4279999999999999</v>
      </c>
      <c r="F24" s="28">
        <v>0.52700000000000002</v>
      </c>
      <c r="G24" s="28">
        <v>1.478</v>
      </c>
      <c r="H24" s="28">
        <v>3.6419999999999999</v>
      </c>
      <c r="I24" s="29">
        <v>1125</v>
      </c>
      <c r="J24" s="30">
        <v>99999</v>
      </c>
    </row>
    <row r="25" spans="1:10" ht="18.45" hidden="1" customHeight="1" thickBot="1">
      <c r="B25" s="22"/>
      <c r="C25" t="s">
        <v>50</v>
      </c>
      <c r="D25" s="55" t="s">
        <v>75</v>
      </c>
      <c r="E25" s="31">
        <v>0.91700000000000004</v>
      </c>
      <c r="F25" s="31">
        <v>0.98099999999999998</v>
      </c>
      <c r="G25" s="31">
        <v>0.95499999999999996</v>
      </c>
      <c r="H25" s="31">
        <v>0.93100000000000005</v>
      </c>
      <c r="I25" s="31">
        <v>1</v>
      </c>
      <c r="J25" s="31">
        <v>1</v>
      </c>
    </row>
    <row r="26" spans="1:10" ht="18.45" customHeight="1" thickBot="1">
      <c r="A26">
        <v>2020</v>
      </c>
      <c r="B26" s="22">
        <f t="shared" ref="B26" si="5">B23+1</f>
        <v>2003</v>
      </c>
      <c r="C26" t="s">
        <v>50</v>
      </c>
      <c r="D26" s="55" t="s">
        <v>73</v>
      </c>
      <c r="E26" s="32">
        <v>6.4779999999999998</v>
      </c>
      <c r="F26" s="32">
        <v>0.48399999999999999</v>
      </c>
      <c r="G26" s="32">
        <v>0.81699999999999995</v>
      </c>
      <c r="H26" s="32">
        <v>3.0739999999999998</v>
      </c>
      <c r="I26" s="33">
        <v>1125</v>
      </c>
      <c r="J26" s="34">
        <v>100000</v>
      </c>
    </row>
    <row r="27" spans="1:10" ht="18.45" hidden="1" customHeight="1" thickBot="1">
      <c r="B27" s="22"/>
      <c r="C27" t="s">
        <v>50</v>
      </c>
      <c r="D27" s="55" t="s">
        <v>74</v>
      </c>
      <c r="E27" s="32">
        <v>5.8049999999999997</v>
      </c>
      <c r="F27" s="32">
        <v>0.47399999999999998</v>
      </c>
      <c r="G27" s="32">
        <v>0.747</v>
      </c>
      <c r="H27" s="32">
        <v>2.8029999999999999</v>
      </c>
      <c r="I27" s="33">
        <v>1125</v>
      </c>
      <c r="J27" s="34">
        <v>99999</v>
      </c>
    </row>
    <row r="28" spans="1:10" ht="18.45" hidden="1" customHeight="1" thickBot="1">
      <c r="B28" s="22"/>
      <c r="C28" t="s">
        <v>50</v>
      </c>
      <c r="D28" s="55" t="s">
        <v>75</v>
      </c>
      <c r="E28" s="35">
        <v>0.89600000000000002</v>
      </c>
      <c r="F28" s="35">
        <v>0.97899999999999998</v>
      </c>
      <c r="G28" s="35">
        <v>0.91400000000000003</v>
      </c>
      <c r="H28" s="35">
        <v>0.91200000000000003</v>
      </c>
      <c r="I28" s="35">
        <v>1</v>
      </c>
      <c r="J28" s="35">
        <v>1</v>
      </c>
    </row>
    <row r="29" spans="1:10" ht="18.45" customHeight="1" thickBot="1">
      <c r="A29">
        <v>2020</v>
      </c>
      <c r="B29" s="22">
        <f t="shared" ref="B29" si="6">B26+1</f>
        <v>2004</v>
      </c>
      <c r="C29" t="s">
        <v>50</v>
      </c>
      <c r="D29" s="55" t="s">
        <v>73</v>
      </c>
      <c r="E29" s="32">
        <v>6.4779999999999998</v>
      </c>
      <c r="F29" s="32">
        <v>0.48399999999999999</v>
      </c>
      <c r="G29" s="32">
        <v>0.81699999999999995</v>
      </c>
      <c r="H29" s="32">
        <v>3.0739999999999998</v>
      </c>
      <c r="I29" s="33">
        <v>1125</v>
      </c>
      <c r="J29" s="34">
        <v>100000</v>
      </c>
    </row>
    <row r="30" spans="1:10" ht="18.45" hidden="1" customHeight="1" thickBot="1">
      <c r="B30" s="22"/>
      <c r="C30" t="s">
        <v>50</v>
      </c>
      <c r="D30" s="55" t="s">
        <v>74</v>
      </c>
      <c r="E30" s="32">
        <v>5.8049999999999997</v>
      </c>
      <c r="F30" s="32">
        <v>0.47399999999999998</v>
      </c>
      <c r="G30" s="32">
        <v>0.747</v>
      </c>
      <c r="H30" s="32">
        <v>2.8029999999999999</v>
      </c>
      <c r="I30" s="33">
        <v>1125</v>
      </c>
      <c r="J30" s="34">
        <v>99999</v>
      </c>
    </row>
    <row r="31" spans="1:10" ht="18.45" hidden="1" customHeight="1" thickBot="1">
      <c r="B31" s="22"/>
      <c r="C31" t="s">
        <v>50</v>
      </c>
      <c r="D31" s="55" t="s">
        <v>75</v>
      </c>
      <c r="E31" s="35">
        <v>0.89600000000000002</v>
      </c>
      <c r="F31" s="35">
        <v>0.97899999999999998</v>
      </c>
      <c r="G31" s="35">
        <v>0.91400000000000003</v>
      </c>
      <c r="H31" s="35">
        <v>0.91200000000000003</v>
      </c>
      <c r="I31" s="35">
        <v>1</v>
      </c>
      <c r="J31" s="35">
        <v>1</v>
      </c>
    </row>
    <row r="32" spans="1:10" ht="18.45" customHeight="1" thickBot="1">
      <c r="A32">
        <v>2020</v>
      </c>
      <c r="B32" s="22">
        <f t="shared" ref="B32" si="7">B29+1</f>
        <v>2005</v>
      </c>
      <c r="C32" t="s">
        <v>50</v>
      </c>
      <c r="D32" s="55" t="s">
        <v>73</v>
      </c>
      <c r="E32" s="32">
        <v>6.4779999999999998</v>
      </c>
      <c r="F32" s="32">
        <v>0.48399999999999999</v>
      </c>
      <c r="G32" s="32">
        <v>0.81699999999999995</v>
      </c>
      <c r="H32" s="32">
        <v>3.0739999999999998</v>
      </c>
      <c r="I32" s="33">
        <v>1125</v>
      </c>
      <c r="J32" s="34">
        <v>100000</v>
      </c>
    </row>
    <row r="33" spans="1:10" ht="18.45" hidden="1" customHeight="1" thickBot="1">
      <c r="B33" s="22"/>
      <c r="C33" t="s">
        <v>50</v>
      </c>
      <c r="D33" s="55" t="s">
        <v>74</v>
      </c>
      <c r="E33" s="32">
        <v>5.8049999999999997</v>
      </c>
      <c r="F33" s="32">
        <v>0.47399999999999998</v>
      </c>
      <c r="G33" s="32">
        <v>0.747</v>
      </c>
      <c r="H33" s="32">
        <v>2.8029999999999999</v>
      </c>
      <c r="I33" s="33">
        <v>1125</v>
      </c>
      <c r="J33" s="34">
        <v>99999</v>
      </c>
    </row>
    <row r="34" spans="1:10" ht="18.45" hidden="1" customHeight="1" thickBot="1">
      <c r="B34" s="22"/>
      <c r="C34" t="s">
        <v>50</v>
      </c>
      <c r="D34" s="55" t="s">
        <v>75</v>
      </c>
      <c r="E34" s="35">
        <v>0.89600000000000002</v>
      </c>
      <c r="F34" s="35">
        <v>0.97899999999999998</v>
      </c>
      <c r="G34" s="35">
        <v>0.91400000000000003</v>
      </c>
      <c r="H34" s="35">
        <v>0.91200000000000003</v>
      </c>
      <c r="I34" s="35">
        <v>1</v>
      </c>
      <c r="J34" s="35">
        <v>1</v>
      </c>
    </row>
    <row r="35" spans="1:10" ht="18.45" customHeight="1" thickBot="1">
      <c r="A35">
        <v>2020</v>
      </c>
      <c r="B35" s="22">
        <f t="shared" ref="B35" si="8">B32+1</f>
        <v>2006</v>
      </c>
      <c r="C35" t="s">
        <v>50</v>
      </c>
      <c r="D35" s="55" t="s">
        <v>73</v>
      </c>
      <c r="E35" s="32">
        <v>6.4779999999999998</v>
      </c>
      <c r="F35" s="32">
        <v>0.48399999999999999</v>
      </c>
      <c r="G35" s="32">
        <v>0.81699999999999995</v>
      </c>
      <c r="H35" s="32">
        <v>3.0739999999999998</v>
      </c>
      <c r="I35" s="33">
        <v>1125</v>
      </c>
      <c r="J35" s="34">
        <v>100000</v>
      </c>
    </row>
    <row r="36" spans="1:10" ht="18.45" hidden="1" customHeight="1" thickBot="1">
      <c r="B36" s="22"/>
      <c r="C36" t="s">
        <v>50</v>
      </c>
      <c r="D36" s="55" t="s">
        <v>74</v>
      </c>
      <c r="E36" s="32">
        <v>5.8049999999999997</v>
      </c>
      <c r="F36" s="32">
        <v>0.47399999999999998</v>
      </c>
      <c r="G36" s="32">
        <v>0.747</v>
      </c>
      <c r="H36" s="32">
        <v>2.8029999999999999</v>
      </c>
      <c r="I36" s="33">
        <v>1125</v>
      </c>
      <c r="J36" s="34">
        <v>99999</v>
      </c>
    </row>
    <row r="37" spans="1:10" ht="18.45" hidden="1" customHeight="1" thickBot="1">
      <c r="B37" s="22"/>
      <c r="C37" t="s">
        <v>50</v>
      </c>
      <c r="D37" s="55" t="s">
        <v>75</v>
      </c>
      <c r="E37" s="35">
        <v>0.89600000000000002</v>
      </c>
      <c r="F37" s="35">
        <v>0.97899999999999998</v>
      </c>
      <c r="G37" s="35">
        <v>0.91400000000000003</v>
      </c>
      <c r="H37" s="35">
        <v>0.91200000000000003</v>
      </c>
      <c r="I37" s="35">
        <v>1</v>
      </c>
      <c r="J37" s="35">
        <v>1</v>
      </c>
    </row>
    <row r="38" spans="1:10" ht="18.45" customHeight="1" thickBot="1">
      <c r="A38">
        <v>2020</v>
      </c>
      <c r="B38" s="48">
        <f t="shared" ref="B38" si="9">B35+1</f>
        <v>2007</v>
      </c>
      <c r="C38" t="s">
        <v>50</v>
      </c>
      <c r="D38" s="55" t="s">
        <v>73</v>
      </c>
      <c r="E38" s="44">
        <v>3.2360000000000002</v>
      </c>
      <c r="F38" s="44">
        <v>1.9E-2</v>
      </c>
      <c r="G38" s="44">
        <v>0.158</v>
      </c>
      <c r="H38" s="44">
        <v>0.60699999999999998</v>
      </c>
      <c r="I38" s="45">
        <v>1125</v>
      </c>
      <c r="J38" s="46">
        <v>100000</v>
      </c>
    </row>
    <row r="39" spans="1:10" ht="18.45" hidden="1" customHeight="1" thickBot="1">
      <c r="B39" s="48"/>
      <c r="C39" t="s">
        <v>50</v>
      </c>
      <c r="D39" s="55" t="s">
        <v>74</v>
      </c>
      <c r="E39" s="44">
        <v>2.5630000000000002</v>
      </c>
      <c r="F39" s="44">
        <v>8.9999999999999993E-3</v>
      </c>
      <c r="G39" s="44">
        <v>8.6999999999999994E-2</v>
      </c>
      <c r="H39" s="44">
        <v>0.33700000000000002</v>
      </c>
      <c r="I39" s="45">
        <v>1125</v>
      </c>
      <c r="J39" s="46">
        <v>99999</v>
      </c>
    </row>
    <row r="40" spans="1:10" ht="18.45" hidden="1" customHeight="1" thickBot="1">
      <c r="B40" s="48"/>
      <c r="C40" t="s">
        <v>50</v>
      </c>
      <c r="D40" s="55" t="s">
        <v>75</v>
      </c>
      <c r="E40" s="47">
        <v>0.79200000000000004</v>
      </c>
      <c r="F40" s="47">
        <v>0.47399999999999998</v>
      </c>
      <c r="G40" s="47">
        <v>0.55400000000000005</v>
      </c>
      <c r="H40" s="47">
        <v>0.55500000000000005</v>
      </c>
      <c r="I40" s="47">
        <v>1</v>
      </c>
      <c r="J40" s="47">
        <v>1</v>
      </c>
    </row>
    <row r="41" spans="1:10" ht="18.45" customHeight="1" thickBot="1">
      <c r="A41">
        <v>2020</v>
      </c>
      <c r="B41" s="48">
        <f t="shared" ref="B41" si="10">B38+1</f>
        <v>2008</v>
      </c>
      <c r="C41" t="s">
        <v>50</v>
      </c>
      <c r="D41" s="55" t="s">
        <v>73</v>
      </c>
      <c r="E41" s="44">
        <v>3.2360000000000002</v>
      </c>
      <c r="F41" s="44">
        <v>1.9E-2</v>
      </c>
      <c r="G41" s="44">
        <v>0.158</v>
      </c>
      <c r="H41" s="44">
        <v>0.60699999999999998</v>
      </c>
      <c r="I41" s="45">
        <v>1125</v>
      </c>
      <c r="J41" s="46">
        <v>100000</v>
      </c>
    </row>
    <row r="42" spans="1:10" ht="18.45" hidden="1" customHeight="1" thickBot="1">
      <c r="B42" s="48"/>
      <c r="C42" t="s">
        <v>50</v>
      </c>
      <c r="D42" s="55" t="s">
        <v>74</v>
      </c>
      <c r="E42" s="44">
        <v>2.5630000000000002</v>
      </c>
      <c r="F42" s="44">
        <v>8.9999999999999993E-3</v>
      </c>
      <c r="G42" s="44">
        <v>8.6999999999999994E-2</v>
      </c>
      <c r="H42" s="44">
        <v>0.33700000000000002</v>
      </c>
      <c r="I42" s="45">
        <v>1125</v>
      </c>
      <c r="J42" s="46">
        <v>99999</v>
      </c>
    </row>
    <row r="43" spans="1:10" ht="18.45" hidden="1" customHeight="1" thickBot="1">
      <c r="B43" s="48"/>
      <c r="C43" t="s">
        <v>50</v>
      </c>
      <c r="D43" s="55" t="s">
        <v>75</v>
      </c>
      <c r="E43" s="47">
        <v>0.79200000000000004</v>
      </c>
      <c r="F43" s="47">
        <v>0.47399999999999998</v>
      </c>
      <c r="G43" s="47">
        <v>0.55400000000000005</v>
      </c>
      <c r="H43" s="47">
        <v>0.55500000000000005</v>
      </c>
      <c r="I43" s="47">
        <v>1</v>
      </c>
      <c r="J43" s="47">
        <v>1</v>
      </c>
    </row>
    <row r="44" spans="1:10" ht="18.45" customHeight="1" thickBot="1">
      <c r="A44">
        <v>2020</v>
      </c>
      <c r="B44" s="48">
        <f t="shared" ref="B44" si="11">B41+1</f>
        <v>2009</v>
      </c>
      <c r="C44" t="s">
        <v>50</v>
      </c>
      <c r="D44" s="55" t="s">
        <v>73</v>
      </c>
      <c r="E44" s="44">
        <v>3.2360000000000002</v>
      </c>
      <c r="F44" s="44">
        <v>1.9E-2</v>
      </c>
      <c r="G44" s="44">
        <v>0.158</v>
      </c>
      <c r="H44" s="44">
        <v>0.60699999999999998</v>
      </c>
      <c r="I44" s="45">
        <v>1125</v>
      </c>
      <c r="J44" s="46">
        <v>100000</v>
      </c>
    </row>
    <row r="45" spans="1:10" ht="18.45" hidden="1" customHeight="1" thickBot="1">
      <c r="B45" s="48"/>
      <c r="C45" t="s">
        <v>50</v>
      </c>
      <c r="D45" s="55" t="s">
        <v>74</v>
      </c>
      <c r="E45" s="44">
        <v>2.5630000000000002</v>
      </c>
      <c r="F45" s="44">
        <v>8.9999999999999993E-3</v>
      </c>
      <c r="G45" s="44">
        <v>8.6999999999999994E-2</v>
      </c>
      <c r="H45" s="44">
        <v>0.33700000000000002</v>
      </c>
      <c r="I45" s="45">
        <v>1125</v>
      </c>
      <c r="J45" s="46">
        <v>99999</v>
      </c>
    </row>
    <row r="46" spans="1:10" ht="18.45" hidden="1" customHeight="1" thickBot="1">
      <c r="B46" s="48"/>
      <c r="C46" t="s">
        <v>50</v>
      </c>
      <c r="D46" s="55" t="s">
        <v>75</v>
      </c>
      <c r="E46" s="47">
        <v>0.79200000000000004</v>
      </c>
      <c r="F46" s="47">
        <v>0.47399999999999998</v>
      </c>
      <c r="G46" s="47">
        <v>0.55400000000000005</v>
      </c>
      <c r="H46" s="47">
        <v>0.55500000000000005</v>
      </c>
      <c r="I46" s="47">
        <v>1</v>
      </c>
      <c r="J46" s="47">
        <v>1</v>
      </c>
    </row>
    <row r="47" spans="1:10" ht="18.45" customHeight="1" thickBot="1">
      <c r="A47">
        <v>2020</v>
      </c>
      <c r="B47" s="23">
        <f t="shared" ref="B47" si="12">B44+1</f>
        <v>2010</v>
      </c>
      <c r="C47" t="s">
        <v>50</v>
      </c>
      <c r="D47" s="55" t="s">
        <v>73</v>
      </c>
      <c r="E47" s="36">
        <v>1.149</v>
      </c>
      <c r="F47" s="36">
        <v>1.7999999999999999E-2</v>
      </c>
      <c r="G47" s="36">
        <v>8.8999999999999996E-2</v>
      </c>
      <c r="H47" s="36">
        <v>0.34399999999999997</v>
      </c>
      <c r="I47" s="37">
        <v>1125</v>
      </c>
      <c r="J47" s="38">
        <v>100000</v>
      </c>
    </row>
    <row r="48" spans="1:10" ht="18.45" hidden="1" customHeight="1" thickBot="1">
      <c r="B48" s="23"/>
      <c r="C48" t="s">
        <v>50</v>
      </c>
      <c r="D48" s="55" t="s">
        <v>74</v>
      </c>
      <c r="E48" s="36">
        <v>0.47499999999999998</v>
      </c>
      <c r="F48" s="36">
        <v>8.0000000000000002E-3</v>
      </c>
      <c r="G48" s="36">
        <v>1.9E-2</v>
      </c>
      <c r="H48" s="36">
        <v>7.3999999999999996E-2</v>
      </c>
      <c r="I48" s="37">
        <v>1125</v>
      </c>
      <c r="J48" s="38">
        <v>99999</v>
      </c>
    </row>
    <row r="49" spans="1:10" ht="18.45" hidden="1" customHeight="1" thickBot="1">
      <c r="B49" s="23"/>
      <c r="C49" t="s">
        <v>50</v>
      </c>
      <c r="D49" s="55" t="s">
        <v>75</v>
      </c>
      <c r="E49" s="39">
        <v>0.41299999999999998</v>
      </c>
      <c r="F49" s="39">
        <v>0.443</v>
      </c>
      <c r="G49" s="39">
        <v>0.21299999999999999</v>
      </c>
      <c r="H49" s="39">
        <v>0.214</v>
      </c>
      <c r="I49" s="39">
        <v>1</v>
      </c>
      <c r="J49" s="39">
        <v>1</v>
      </c>
    </row>
    <row r="50" spans="1:10" ht="18.45" customHeight="1" thickBot="1">
      <c r="A50">
        <v>2020</v>
      </c>
      <c r="B50" s="23">
        <f t="shared" ref="B50" si="13">B47+1</f>
        <v>2011</v>
      </c>
      <c r="C50" t="s">
        <v>50</v>
      </c>
      <c r="D50" s="55" t="s">
        <v>73</v>
      </c>
      <c r="E50" s="36">
        <v>1.149</v>
      </c>
      <c r="F50" s="36">
        <v>1.7999999999999999E-2</v>
      </c>
      <c r="G50" s="36">
        <v>8.8999999999999996E-2</v>
      </c>
      <c r="H50" s="36">
        <v>0.34399999999999997</v>
      </c>
      <c r="I50" s="37">
        <v>1125</v>
      </c>
      <c r="J50" s="38">
        <v>100000</v>
      </c>
    </row>
    <row r="51" spans="1:10" ht="18.45" hidden="1" customHeight="1" thickBot="1">
      <c r="B51" s="23"/>
      <c r="C51" t="s">
        <v>50</v>
      </c>
      <c r="D51" s="55" t="s">
        <v>74</v>
      </c>
      <c r="E51" s="36">
        <v>0.47499999999999998</v>
      </c>
      <c r="F51" s="36">
        <v>8.0000000000000002E-3</v>
      </c>
      <c r="G51" s="36">
        <v>1.9E-2</v>
      </c>
      <c r="H51" s="36">
        <v>7.3999999999999996E-2</v>
      </c>
      <c r="I51" s="37">
        <v>1125</v>
      </c>
      <c r="J51" s="38">
        <v>99999</v>
      </c>
    </row>
    <row r="52" spans="1:10" ht="18.45" hidden="1" customHeight="1" thickBot="1">
      <c r="B52" s="23"/>
      <c r="C52" t="s">
        <v>50</v>
      </c>
      <c r="D52" s="55" t="s">
        <v>75</v>
      </c>
      <c r="E52" s="39">
        <v>0.41299999999999998</v>
      </c>
      <c r="F52" s="39">
        <v>0.443</v>
      </c>
      <c r="G52" s="39">
        <v>0.21299999999999999</v>
      </c>
      <c r="H52" s="39">
        <v>0.214</v>
      </c>
      <c r="I52" s="39">
        <v>1</v>
      </c>
      <c r="J52" s="39">
        <v>1</v>
      </c>
    </row>
    <row r="53" spans="1:10" ht="18.45" customHeight="1" thickBot="1">
      <c r="A53">
        <v>2020</v>
      </c>
      <c r="B53" s="23">
        <f t="shared" ref="B53" si="14">B50+1</f>
        <v>2012</v>
      </c>
      <c r="C53" t="s">
        <v>50</v>
      </c>
      <c r="D53" s="55" t="s">
        <v>73</v>
      </c>
      <c r="E53" s="36">
        <v>1.149</v>
      </c>
      <c r="F53" s="36">
        <v>1.7999999999999999E-2</v>
      </c>
      <c r="G53" s="36">
        <v>8.8999999999999996E-2</v>
      </c>
      <c r="H53" s="36">
        <v>0.34399999999999997</v>
      </c>
      <c r="I53" s="37">
        <v>1125</v>
      </c>
      <c r="J53" s="38">
        <v>100000</v>
      </c>
    </row>
    <row r="54" spans="1:10" ht="18.45" hidden="1" customHeight="1" thickBot="1">
      <c r="B54" s="23"/>
      <c r="C54" t="s">
        <v>50</v>
      </c>
      <c r="D54" s="55" t="s">
        <v>74</v>
      </c>
      <c r="E54" s="36">
        <v>0.47499999999999998</v>
      </c>
      <c r="F54" s="36">
        <v>8.0000000000000002E-3</v>
      </c>
      <c r="G54" s="36">
        <v>1.9E-2</v>
      </c>
      <c r="H54" s="36">
        <v>7.3999999999999996E-2</v>
      </c>
      <c r="I54" s="37">
        <v>1125</v>
      </c>
      <c r="J54" s="38">
        <v>99999</v>
      </c>
    </row>
    <row r="55" spans="1:10" ht="18.45" hidden="1" customHeight="1" thickBot="1">
      <c r="B55" s="23"/>
      <c r="C55" t="s">
        <v>50</v>
      </c>
      <c r="D55" s="55" t="s">
        <v>75</v>
      </c>
      <c r="E55" s="39">
        <v>0.41299999999999998</v>
      </c>
      <c r="F55" s="39">
        <v>0.443</v>
      </c>
      <c r="G55" s="39">
        <v>0.21299999999999999</v>
      </c>
      <c r="H55" s="39">
        <v>0.214</v>
      </c>
      <c r="I55" s="39">
        <v>1</v>
      </c>
      <c r="J55" s="39">
        <v>1</v>
      </c>
    </row>
    <row r="56" spans="1:10" ht="18.45" customHeight="1" thickBot="1">
      <c r="A56">
        <v>2020</v>
      </c>
      <c r="B56" s="23">
        <f t="shared" ref="B56" si="15">B53+1</f>
        <v>2013</v>
      </c>
      <c r="C56" t="s">
        <v>50</v>
      </c>
      <c r="D56" s="55" t="s">
        <v>73</v>
      </c>
      <c r="E56" s="41">
        <v>1.024</v>
      </c>
      <c r="F56" s="41">
        <v>1.6E-2</v>
      </c>
      <c r="G56" s="41">
        <v>8.4000000000000005E-2</v>
      </c>
      <c r="H56" s="41">
        <v>0.32500000000000001</v>
      </c>
      <c r="I56" s="42">
        <v>1125</v>
      </c>
      <c r="J56" s="43">
        <v>100000</v>
      </c>
    </row>
    <row r="57" spans="1:10" ht="18.45" hidden="1" customHeight="1" thickBot="1">
      <c r="B57" s="23"/>
      <c r="C57" t="s">
        <v>50</v>
      </c>
      <c r="D57" s="55" t="s">
        <v>74</v>
      </c>
      <c r="E57" s="41">
        <v>0.34899999999999998</v>
      </c>
      <c r="F57" s="41">
        <v>6.0000000000000001E-3</v>
      </c>
      <c r="G57" s="41">
        <v>1.4E-2</v>
      </c>
      <c r="H57" s="41">
        <v>5.3999999999999999E-2</v>
      </c>
      <c r="I57" s="42">
        <v>1125</v>
      </c>
      <c r="J57" s="43">
        <v>99999</v>
      </c>
    </row>
    <row r="58" spans="1:10" ht="18.45" hidden="1" customHeight="1" thickBot="1">
      <c r="B58" s="23"/>
      <c r="C58" t="s">
        <v>50</v>
      </c>
      <c r="D58" s="55" t="s">
        <v>75</v>
      </c>
      <c r="E58" s="40">
        <v>0.34100000000000003</v>
      </c>
      <c r="F58" s="40">
        <v>0.37</v>
      </c>
      <c r="G58" s="40">
        <v>0.16600000000000001</v>
      </c>
      <c r="H58" s="40">
        <v>0.16700000000000001</v>
      </c>
      <c r="I58" s="40">
        <v>1</v>
      </c>
      <c r="J58" s="40">
        <v>1</v>
      </c>
    </row>
    <row r="59" spans="1:10" ht="18.45" customHeight="1" thickBot="1">
      <c r="A59">
        <v>2020</v>
      </c>
      <c r="B59" s="23">
        <f t="shared" ref="B59" si="16">B56+1</f>
        <v>2014</v>
      </c>
      <c r="C59" t="s">
        <v>50</v>
      </c>
      <c r="D59" s="55" t="s">
        <v>73</v>
      </c>
      <c r="E59" s="36">
        <v>1.018</v>
      </c>
      <c r="F59" s="36">
        <v>1.6E-2</v>
      </c>
      <c r="G59" s="36">
        <v>8.4000000000000005E-2</v>
      </c>
      <c r="H59" s="36">
        <v>0.32400000000000001</v>
      </c>
      <c r="I59" s="37">
        <v>1125</v>
      </c>
      <c r="J59" s="38">
        <v>100000</v>
      </c>
    </row>
    <row r="60" spans="1:10" ht="18.45" hidden="1" customHeight="1" thickBot="1">
      <c r="B60" s="23"/>
      <c r="C60" t="s">
        <v>50</v>
      </c>
      <c r="D60" s="55" t="s">
        <v>74</v>
      </c>
      <c r="E60" s="36">
        <v>0.34399999999999997</v>
      </c>
      <c r="F60" s="36">
        <v>6.0000000000000001E-3</v>
      </c>
      <c r="G60" s="36">
        <v>1.4E-2</v>
      </c>
      <c r="H60" s="36">
        <v>5.3999999999999999E-2</v>
      </c>
      <c r="I60" s="37">
        <v>1125</v>
      </c>
      <c r="J60" s="38">
        <v>99999</v>
      </c>
    </row>
    <row r="61" spans="1:10" ht="18.45" hidden="1" customHeight="1" thickBot="1">
      <c r="B61" s="23"/>
      <c r="C61" t="s">
        <v>50</v>
      </c>
      <c r="D61" s="55" t="s">
        <v>75</v>
      </c>
      <c r="E61" s="39">
        <v>0.33800000000000002</v>
      </c>
      <c r="F61" s="39">
        <v>0.36899999999999999</v>
      </c>
      <c r="G61" s="39">
        <v>0.16600000000000001</v>
      </c>
      <c r="H61" s="39">
        <v>0.16600000000000001</v>
      </c>
      <c r="I61" s="39">
        <v>1</v>
      </c>
      <c r="J61" s="39">
        <v>1</v>
      </c>
    </row>
    <row r="62" spans="1:10" ht="18.45" customHeight="1" thickBot="1">
      <c r="A62">
        <v>2020</v>
      </c>
      <c r="B62" s="23">
        <f t="shared" ref="B62" si="17">B59+1</f>
        <v>2015</v>
      </c>
      <c r="C62" t="s">
        <v>50</v>
      </c>
      <c r="D62" s="55" t="s">
        <v>73</v>
      </c>
      <c r="E62" s="36">
        <v>1.018</v>
      </c>
      <c r="F62" s="36">
        <v>1.6E-2</v>
      </c>
      <c r="G62" s="36">
        <v>8.2000000000000003E-2</v>
      </c>
      <c r="H62" s="36">
        <v>0.314</v>
      </c>
      <c r="I62" s="37">
        <v>1125</v>
      </c>
      <c r="J62" s="38">
        <v>100000</v>
      </c>
    </row>
    <row r="63" spans="1:10" ht="18.45" hidden="1" customHeight="1" thickBot="1">
      <c r="B63" s="23"/>
      <c r="C63" t="s">
        <v>50</v>
      </c>
      <c r="D63" s="55" t="s">
        <v>74</v>
      </c>
      <c r="E63" s="41">
        <v>0.28100000000000003</v>
      </c>
      <c r="F63" s="41">
        <v>5.0000000000000001E-3</v>
      </c>
      <c r="G63" s="41">
        <v>1.0999999999999999E-2</v>
      </c>
      <c r="H63" s="41">
        <v>4.3999999999999997E-2</v>
      </c>
      <c r="I63" s="42">
        <v>1125</v>
      </c>
      <c r="J63" s="43">
        <v>99999</v>
      </c>
    </row>
    <row r="64" spans="1:10" ht="18.45" hidden="1" customHeight="1" thickBot="1">
      <c r="B64" s="23"/>
      <c r="C64" t="s">
        <v>50</v>
      </c>
      <c r="D64" s="55" t="s">
        <v>75</v>
      </c>
      <c r="E64" s="40">
        <v>0.29399999999999998</v>
      </c>
      <c r="F64" s="40">
        <v>0.32400000000000001</v>
      </c>
      <c r="G64" s="40">
        <v>0.14000000000000001</v>
      </c>
      <c r="H64" s="40">
        <v>0.14000000000000001</v>
      </c>
      <c r="I64" s="40">
        <v>1</v>
      </c>
      <c r="J64" s="40">
        <v>1</v>
      </c>
    </row>
    <row r="65" spans="1:11" ht="18.45" customHeight="1" thickBot="1">
      <c r="A65">
        <v>2020</v>
      </c>
      <c r="B65" s="23">
        <f t="shared" ref="B65" si="18">B62+1</f>
        <v>2016</v>
      </c>
      <c r="C65" t="s">
        <v>50</v>
      </c>
      <c r="D65" s="55" t="s">
        <v>73</v>
      </c>
      <c r="E65" s="41">
        <v>0.95599999999999996</v>
      </c>
      <c r="F65" s="41">
        <v>1.4999999999999999E-2</v>
      </c>
      <c r="G65" s="41">
        <v>8.2000000000000003E-2</v>
      </c>
      <c r="H65" s="41">
        <v>0.314</v>
      </c>
      <c r="I65" s="42">
        <v>1125</v>
      </c>
      <c r="J65" s="43">
        <v>100000</v>
      </c>
    </row>
    <row r="66" spans="1:11" ht="18.45" hidden="1" customHeight="1" thickBot="1">
      <c r="B66" s="23"/>
      <c r="C66" t="s">
        <v>50</v>
      </c>
      <c r="D66" s="55" t="s">
        <v>74</v>
      </c>
      <c r="E66" s="41">
        <v>0.28100000000000003</v>
      </c>
      <c r="F66" s="41">
        <v>5.0000000000000001E-3</v>
      </c>
      <c r="G66" s="41">
        <v>1.0999999999999999E-2</v>
      </c>
      <c r="H66" s="41">
        <v>4.3999999999999997E-2</v>
      </c>
      <c r="I66" s="42">
        <v>1125</v>
      </c>
      <c r="J66" s="43">
        <v>99999</v>
      </c>
    </row>
    <row r="67" spans="1:11" ht="18.45" hidden="1" customHeight="1" thickBot="1">
      <c r="B67" s="23"/>
      <c r="C67" t="s">
        <v>50</v>
      </c>
      <c r="D67" s="55" t="s">
        <v>75</v>
      </c>
      <c r="E67" s="40">
        <v>0.29399999999999998</v>
      </c>
      <c r="F67" s="40">
        <v>0.32400000000000001</v>
      </c>
      <c r="G67" s="40">
        <v>0.14000000000000001</v>
      </c>
      <c r="H67" s="40">
        <v>0.14000000000000001</v>
      </c>
      <c r="I67" s="40">
        <v>1</v>
      </c>
      <c r="J67" s="40">
        <v>1</v>
      </c>
    </row>
    <row r="68" spans="1:11" ht="18.45" customHeight="1" thickBot="1">
      <c r="A68">
        <v>2020</v>
      </c>
      <c r="B68" s="23">
        <f t="shared" ref="B68" si="19">B65+1</f>
        <v>2017</v>
      </c>
      <c r="C68" t="s">
        <v>50</v>
      </c>
      <c r="D68" s="55" t="s">
        <v>73</v>
      </c>
      <c r="E68" s="41">
        <v>0.95599999999999996</v>
      </c>
      <c r="F68" s="41">
        <v>1.4999999999999999E-2</v>
      </c>
      <c r="G68" s="41">
        <v>8.2000000000000003E-2</v>
      </c>
      <c r="H68" s="41">
        <v>0.314</v>
      </c>
      <c r="I68" s="42">
        <v>1125</v>
      </c>
      <c r="J68" s="43">
        <v>100000</v>
      </c>
    </row>
    <row r="69" spans="1:11" ht="18.45" hidden="1" customHeight="1" thickBot="1">
      <c r="B69" s="23"/>
      <c r="C69" t="s">
        <v>50</v>
      </c>
      <c r="D69" s="55" t="s">
        <v>74</v>
      </c>
      <c r="E69" s="36">
        <v>0</v>
      </c>
      <c r="F69" s="36">
        <v>0</v>
      </c>
      <c r="G69" s="36">
        <v>0</v>
      </c>
      <c r="H69" s="36">
        <v>0</v>
      </c>
      <c r="I69" s="37">
        <v>1125</v>
      </c>
      <c r="J69" s="38">
        <v>99999</v>
      </c>
    </row>
    <row r="70" spans="1:11" ht="18.45" hidden="1" customHeight="1" thickBot="1">
      <c r="B70" s="23"/>
      <c r="C70" t="s">
        <v>50</v>
      </c>
      <c r="D70" s="55" t="s">
        <v>75</v>
      </c>
      <c r="E70" s="39">
        <v>0</v>
      </c>
      <c r="F70" s="39">
        <v>0</v>
      </c>
      <c r="G70" s="39">
        <v>0</v>
      </c>
      <c r="H70" s="39">
        <v>0</v>
      </c>
      <c r="I70" s="39">
        <v>1</v>
      </c>
      <c r="J70" s="39">
        <v>1</v>
      </c>
    </row>
    <row r="71" spans="1:11" ht="18.45" customHeight="1" thickBot="1">
      <c r="A71">
        <v>2020</v>
      </c>
      <c r="B71" s="23">
        <f t="shared" ref="B71" si="20">B68+1</f>
        <v>2018</v>
      </c>
      <c r="C71" t="s">
        <v>50</v>
      </c>
      <c r="D71" s="55" t="s">
        <v>73</v>
      </c>
      <c r="E71" s="36">
        <v>0.67300000000000004</v>
      </c>
      <c r="F71" s="36">
        <v>1.0999999999999999E-2</v>
      </c>
      <c r="G71" s="36">
        <v>7.0000000000000007E-2</v>
      </c>
      <c r="H71" s="36">
        <v>0.27</v>
      </c>
      <c r="I71" s="37">
        <v>1125</v>
      </c>
      <c r="J71" s="38">
        <v>100000</v>
      </c>
    </row>
    <row r="72" spans="1:11" ht="18.45" hidden="1" customHeight="1" thickBot="1">
      <c r="B72" s="23"/>
      <c r="C72" t="s">
        <v>50</v>
      </c>
      <c r="D72" s="55" t="s">
        <v>74</v>
      </c>
      <c r="E72" s="36">
        <v>0</v>
      </c>
      <c r="F72" s="36">
        <v>0</v>
      </c>
      <c r="G72" s="36">
        <v>0</v>
      </c>
      <c r="H72" s="36">
        <v>0</v>
      </c>
      <c r="I72" s="37">
        <v>1125</v>
      </c>
      <c r="J72" s="38">
        <v>99999</v>
      </c>
    </row>
    <row r="73" spans="1:11" ht="18.45" hidden="1" customHeight="1" thickBot="1">
      <c r="B73" s="23"/>
      <c r="C73" t="s">
        <v>50</v>
      </c>
      <c r="D73" s="55" t="s">
        <v>75</v>
      </c>
      <c r="E73" s="39">
        <v>0</v>
      </c>
      <c r="F73" s="39">
        <v>0</v>
      </c>
      <c r="G73" s="39">
        <v>0</v>
      </c>
      <c r="H73" s="39">
        <v>0</v>
      </c>
      <c r="I73" s="39">
        <v>1</v>
      </c>
      <c r="J73" s="39">
        <v>1</v>
      </c>
    </row>
    <row r="74" spans="1:11" ht="18.45" customHeight="1" thickBot="1">
      <c r="A74">
        <v>2020</v>
      </c>
      <c r="B74" s="23">
        <f t="shared" ref="B74" si="21">B71+1</f>
        <v>2019</v>
      </c>
      <c r="C74" t="s">
        <v>50</v>
      </c>
      <c r="D74" s="55" t="s">
        <v>73</v>
      </c>
      <c r="E74" s="36">
        <v>0.67300000000000004</v>
      </c>
      <c r="F74" s="36">
        <v>1.0999999999999999E-2</v>
      </c>
      <c r="G74" s="36">
        <v>7.0000000000000007E-2</v>
      </c>
      <c r="H74" s="36">
        <v>0.27</v>
      </c>
      <c r="I74" s="37">
        <v>1125</v>
      </c>
      <c r="J74" s="38">
        <v>100000</v>
      </c>
    </row>
    <row r="75" spans="1:11" ht="18.45" hidden="1" customHeight="1" thickBot="1">
      <c r="B75" s="23"/>
      <c r="C75" t="s">
        <v>50</v>
      </c>
      <c r="D75" s="55" t="s">
        <v>74</v>
      </c>
      <c r="E75" s="36">
        <v>0</v>
      </c>
      <c r="F75" s="36">
        <v>0</v>
      </c>
      <c r="G75" s="36">
        <v>0</v>
      </c>
      <c r="H75" s="36">
        <v>0</v>
      </c>
      <c r="I75" s="37">
        <v>1125</v>
      </c>
      <c r="J75" s="38">
        <v>99999</v>
      </c>
    </row>
    <row r="76" spans="1:11" ht="18.45" hidden="1" customHeight="1" thickBot="1">
      <c r="B76" s="23"/>
      <c r="C76" t="s">
        <v>50</v>
      </c>
      <c r="D76" s="55" t="s">
        <v>75</v>
      </c>
      <c r="E76" s="39">
        <v>0</v>
      </c>
      <c r="F76" s="39">
        <v>0</v>
      </c>
      <c r="G76" s="39">
        <v>0</v>
      </c>
      <c r="H76" s="39">
        <v>0</v>
      </c>
      <c r="I76" s="39">
        <v>1</v>
      </c>
      <c r="J76" s="39">
        <v>1</v>
      </c>
    </row>
    <row r="77" spans="1:11" ht="18.45" customHeight="1" thickBot="1">
      <c r="A77">
        <v>2020</v>
      </c>
      <c r="B77" s="23">
        <f t="shared" ref="B77" si="22">B74+1</f>
        <v>2020</v>
      </c>
      <c r="C77" t="s">
        <v>50</v>
      </c>
      <c r="D77" s="55" t="s">
        <v>73</v>
      </c>
      <c r="E77" s="36">
        <v>0.67300000000000004</v>
      </c>
      <c r="F77" s="36">
        <v>1.0999999999999999E-2</v>
      </c>
      <c r="G77" s="36">
        <v>7.0000000000000007E-2</v>
      </c>
      <c r="H77" s="36">
        <v>0.27</v>
      </c>
      <c r="I77" s="37">
        <v>1125</v>
      </c>
      <c r="J77" s="38">
        <v>100000</v>
      </c>
    </row>
    <row r="78" spans="1:11" ht="18.45" hidden="1" customHeight="1" thickBot="1">
      <c r="B78" s="23"/>
      <c r="C78" t="s">
        <v>50</v>
      </c>
      <c r="D78" s="55" t="s">
        <v>74</v>
      </c>
      <c r="E78" s="36">
        <v>0</v>
      </c>
      <c r="F78" s="36">
        <v>0</v>
      </c>
      <c r="G78" s="36">
        <v>0</v>
      </c>
      <c r="H78" s="36">
        <v>0</v>
      </c>
      <c r="I78" s="37">
        <v>1125</v>
      </c>
      <c r="J78" s="38">
        <v>99999</v>
      </c>
    </row>
    <row r="79" spans="1:11" ht="18.45" hidden="1" customHeight="1" thickBot="1">
      <c r="B79" s="23"/>
      <c r="C79" t="s">
        <v>50</v>
      </c>
      <c r="D79" s="55" t="s">
        <v>75</v>
      </c>
      <c r="E79" s="39">
        <v>0</v>
      </c>
      <c r="F79" s="39">
        <v>0</v>
      </c>
      <c r="G79" s="39">
        <v>0</v>
      </c>
      <c r="H79" s="39">
        <v>0</v>
      </c>
      <c r="I79" s="39">
        <v>1</v>
      </c>
      <c r="J79" s="39">
        <v>1</v>
      </c>
    </row>
    <row r="80" spans="1:11" ht="18.45" customHeight="1" thickBot="1">
      <c r="A80">
        <v>2020</v>
      </c>
      <c r="B80" s="23">
        <f t="shared" ref="B80" si="23">B77+1</f>
        <v>2021</v>
      </c>
      <c r="C80" t="s">
        <v>50</v>
      </c>
      <c r="D80" s="55" t="s">
        <v>73</v>
      </c>
      <c r="E80" s="36">
        <v>0.67300000000000004</v>
      </c>
      <c r="F80" s="36">
        <v>1.0999999999999999E-2</v>
      </c>
      <c r="G80" s="36">
        <v>7.0000000000000007E-2</v>
      </c>
      <c r="H80" s="36">
        <v>0.27</v>
      </c>
      <c r="I80" s="37">
        <v>1125</v>
      </c>
      <c r="J80" s="38">
        <v>100000</v>
      </c>
      <c r="K80" t="s">
        <v>51</v>
      </c>
    </row>
    <row r="81" spans="1:13" ht="18.45" hidden="1" customHeight="1" thickBot="1">
      <c r="B81" s="23"/>
      <c r="C81" t="s">
        <v>50</v>
      </c>
      <c r="D81" s="55" t="s">
        <v>74</v>
      </c>
      <c r="E81" s="36">
        <v>0</v>
      </c>
      <c r="F81" s="36">
        <v>0</v>
      </c>
      <c r="G81" s="36">
        <v>0</v>
      </c>
      <c r="H81" s="36">
        <v>0</v>
      </c>
      <c r="I81" s="37">
        <v>1125</v>
      </c>
      <c r="J81" s="38">
        <v>99999</v>
      </c>
    </row>
    <row r="82" spans="1:13" ht="18.45" hidden="1" customHeight="1" thickBot="1">
      <c r="B82" s="23"/>
      <c r="C82" t="s">
        <v>50</v>
      </c>
      <c r="D82" s="55" t="s">
        <v>75</v>
      </c>
      <c r="E82" s="39">
        <v>0</v>
      </c>
      <c r="F82" s="39">
        <v>0</v>
      </c>
      <c r="G82" s="39">
        <v>0</v>
      </c>
      <c r="H82" s="39">
        <v>0</v>
      </c>
      <c r="I82" s="39">
        <v>1</v>
      </c>
      <c r="J82" s="39">
        <v>1</v>
      </c>
    </row>
    <row r="83" spans="1:13" ht="18.45" customHeight="1" thickBot="1">
      <c r="B83" s="23">
        <f t="shared" ref="B83" si="24">B80+1</f>
        <v>2022</v>
      </c>
      <c r="C83" t="s">
        <v>50</v>
      </c>
      <c r="D83" s="55" t="s">
        <v>73</v>
      </c>
      <c r="E83" s="36">
        <v>0.67300000000000004</v>
      </c>
      <c r="F83" s="36">
        <v>1.0999999999999999E-2</v>
      </c>
      <c r="G83" s="36">
        <v>7.0000000000000007E-2</v>
      </c>
      <c r="H83" s="36">
        <v>0.27</v>
      </c>
      <c r="I83" s="37">
        <v>1125</v>
      </c>
      <c r="J83" s="38">
        <v>100000</v>
      </c>
    </row>
    <row r="84" spans="1:13" ht="18.45" hidden="1" customHeight="1" thickBot="1">
      <c r="B84" s="23"/>
      <c r="C84" t="s">
        <v>50</v>
      </c>
      <c r="D84" s="55" t="s">
        <v>74</v>
      </c>
      <c r="E84" s="36">
        <v>0</v>
      </c>
      <c r="F84" s="36">
        <v>0</v>
      </c>
      <c r="G84" s="36">
        <v>0</v>
      </c>
      <c r="H84" s="36">
        <v>0</v>
      </c>
      <c r="I84" s="37">
        <v>1125</v>
      </c>
      <c r="J84" s="38">
        <v>99999</v>
      </c>
    </row>
    <row r="85" spans="1:13" ht="18.45" hidden="1" customHeight="1" thickBot="1">
      <c r="B85" s="23"/>
      <c r="C85" t="s">
        <v>50</v>
      </c>
      <c r="D85" s="55" t="s">
        <v>75</v>
      </c>
      <c r="E85" s="39">
        <v>0</v>
      </c>
      <c r="F85" s="39">
        <v>0</v>
      </c>
      <c r="G85" s="39">
        <v>0</v>
      </c>
      <c r="H85" s="39">
        <v>0</v>
      </c>
      <c r="I85" s="39">
        <v>1</v>
      </c>
      <c r="J85" s="39">
        <v>1</v>
      </c>
    </row>
    <row r="86" spans="1:13" ht="18.45" customHeight="1" thickBot="1">
      <c r="A86">
        <v>2020</v>
      </c>
      <c r="B86" s="50">
        <v>2020</v>
      </c>
      <c r="C86" t="s">
        <v>66</v>
      </c>
      <c r="D86" s="10" t="s">
        <v>73</v>
      </c>
      <c r="E86" s="51">
        <v>4.1000000000000036E-2</v>
      </c>
      <c r="F86" s="51">
        <v>0.01</v>
      </c>
      <c r="G86" s="51">
        <v>7.0000000000000007E-2</v>
      </c>
      <c r="H86" s="51">
        <v>5.9450000000000003</v>
      </c>
      <c r="I86" s="51">
        <v>1003.8</v>
      </c>
      <c r="J86" s="147">
        <v>89231</v>
      </c>
      <c r="K86" s="11">
        <f>$M$3/0.65</f>
        <v>153846.15384615384</v>
      </c>
      <c r="L86" s="11" t="s">
        <v>327</v>
      </c>
      <c r="M86" s="127"/>
    </row>
    <row r="87" spans="1:13" ht="18.45" hidden="1" customHeight="1" thickBot="1">
      <c r="B87" s="50"/>
      <c r="C87" t="s">
        <v>66</v>
      </c>
      <c r="D87" s="10" t="s">
        <v>74</v>
      </c>
      <c r="E87" s="51">
        <v>0</v>
      </c>
      <c r="F87" s="51">
        <v>0</v>
      </c>
      <c r="G87" s="51">
        <v>0</v>
      </c>
      <c r="H87" s="51">
        <v>0</v>
      </c>
      <c r="I87" s="52">
        <v>731.2</v>
      </c>
      <c r="J87" s="53">
        <v>64999</v>
      </c>
    </row>
    <row r="88" spans="1:13" ht="18.45" hidden="1" customHeight="1" thickBot="1">
      <c r="B88" s="50"/>
      <c r="C88" t="s">
        <v>66</v>
      </c>
      <c r="D88" s="10" t="s">
        <v>75</v>
      </c>
      <c r="E88" s="54">
        <v>0</v>
      </c>
      <c r="F88" s="54">
        <v>0</v>
      </c>
      <c r="G88" s="54">
        <v>0</v>
      </c>
      <c r="H88" s="54">
        <v>0</v>
      </c>
      <c r="I88" s="54">
        <v>1</v>
      </c>
      <c r="J88" s="54">
        <v>1</v>
      </c>
    </row>
    <row r="89" spans="1:13" ht="18.45" customHeight="1" thickBot="1">
      <c r="A89">
        <v>2020</v>
      </c>
      <c r="B89" s="50">
        <v>2020</v>
      </c>
      <c r="C89" t="s">
        <v>62</v>
      </c>
      <c r="D89" s="10" t="s">
        <v>73</v>
      </c>
      <c r="E89" s="51">
        <v>4.1000000000000002E-2</v>
      </c>
      <c r="F89" s="51">
        <v>1.0999999999999999E-2</v>
      </c>
      <c r="G89" s="145">
        <v>7.0000000000000007E-2</v>
      </c>
      <c r="H89" s="51">
        <v>5.9459999999999997</v>
      </c>
      <c r="I89" s="52">
        <v>1125</v>
      </c>
      <c r="J89" s="53">
        <v>100000</v>
      </c>
      <c r="K89" s="11">
        <f>$M$3/0.16</f>
        <v>625000</v>
      </c>
      <c r="L89" s="11" t="s">
        <v>326</v>
      </c>
      <c r="M89" s="127"/>
    </row>
    <row r="90" spans="1:13" ht="18.45" hidden="1" customHeight="1" thickBot="1">
      <c r="B90" s="50"/>
      <c r="C90" t="s">
        <v>62</v>
      </c>
      <c r="D90" s="10" t="s">
        <v>74</v>
      </c>
      <c r="E90" s="51">
        <v>0</v>
      </c>
      <c r="F90" s="51">
        <v>0</v>
      </c>
      <c r="G90" s="51">
        <v>0</v>
      </c>
      <c r="H90" s="51">
        <v>0</v>
      </c>
      <c r="I90" s="52">
        <v>180</v>
      </c>
      <c r="J90" s="53">
        <v>16000</v>
      </c>
    </row>
    <row r="91" spans="1:13" ht="18.45" hidden="1" customHeight="1" thickBot="1">
      <c r="B91" s="50"/>
      <c r="C91" t="s">
        <v>62</v>
      </c>
      <c r="D91" s="10" t="s">
        <v>75</v>
      </c>
      <c r="E91" s="54">
        <v>0</v>
      </c>
      <c r="F91" s="54">
        <v>0</v>
      </c>
      <c r="G91" s="54">
        <v>0</v>
      </c>
      <c r="H91" s="54">
        <v>0</v>
      </c>
      <c r="I91" s="54">
        <v>1</v>
      </c>
      <c r="J91" s="54">
        <v>1</v>
      </c>
    </row>
    <row r="92" spans="1:13" ht="18.45" customHeight="1" thickBot="1">
      <c r="A92">
        <v>2020</v>
      </c>
      <c r="B92" s="50">
        <v>2020</v>
      </c>
      <c r="C92" t="s">
        <v>63</v>
      </c>
      <c r="D92" s="10" t="s">
        <v>73</v>
      </c>
      <c r="E92" s="51">
        <v>0</v>
      </c>
      <c r="F92" s="51">
        <v>0</v>
      </c>
      <c r="G92" s="51">
        <v>0</v>
      </c>
      <c r="H92" s="51">
        <v>0</v>
      </c>
      <c r="I92" s="52">
        <v>0</v>
      </c>
      <c r="J92" s="53">
        <v>0</v>
      </c>
      <c r="M92" s="127"/>
    </row>
    <row r="93" spans="1:13" ht="18.45" hidden="1" customHeight="1" thickBot="1">
      <c r="B93" s="50"/>
      <c r="C93" t="s">
        <v>63</v>
      </c>
      <c r="D93" s="10" t="s">
        <v>74</v>
      </c>
      <c r="E93" s="51">
        <v>0</v>
      </c>
      <c r="F93" s="51">
        <v>0</v>
      </c>
      <c r="G93" s="51">
        <v>0</v>
      </c>
      <c r="H93" s="51">
        <v>0</v>
      </c>
      <c r="I93" s="52">
        <v>0</v>
      </c>
      <c r="J93" s="53">
        <v>0</v>
      </c>
    </row>
    <row r="94" spans="1:13" ht="18.45" hidden="1" customHeight="1" thickBot="1">
      <c r="B94" s="50"/>
      <c r="C94" t="s">
        <v>63</v>
      </c>
      <c r="D94" s="10" t="s">
        <v>75</v>
      </c>
      <c r="E94" s="54">
        <v>0</v>
      </c>
      <c r="F94" s="54">
        <v>0</v>
      </c>
      <c r="G94" s="54">
        <v>0</v>
      </c>
      <c r="H94" s="54">
        <v>0</v>
      </c>
      <c r="I94" s="54">
        <v>0</v>
      </c>
      <c r="J94" s="54">
        <v>0</v>
      </c>
    </row>
    <row r="95" spans="1:13" ht="18.45" hidden="1" customHeight="1">
      <c r="C95" t="s">
        <v>51</v>
      </c>
    </row>
    <row r="96" spans="1:13" ht="18.45" customHeight="1" thickBot="1">
      <c r="A96">
        <v>2020</v>
      </c>
      <c r="B96" s="50">
        <v>2020</v>
      </c>
      <c r="C96" t="s">
        <v>350</v>
      </c>
      <c r="D96" s="10" t="s">
        <v>73</v>
      </c>
      <c r="E96" s="51"/>
      <c r="F96" s="51"/>
      <c r="G96" s="51"/>
      <c r="H96" s="51"/>
      <c r="I96" s="52"/>
      <c r="J96" s="53"/>
      <c r="K96" s="11">
        <f>1.13*M3</f>
        <v>112999.99999999999</v>
      </c>
      <c r="L96" s="11" t="s">
        <v>349</v>
      </c>
    </row>
    <row r="97" spans="3:3" ht="18.45" customHeight="1">
      <c r="C97" t="s">
        <v>351</v>
      </c>
    </row>
  </sheetData>
  <sheetProtection sheet="1" objects="1" scenarios="1"/>
  <autoFilter ref="A4:J95" xr:uid="{8EA5E03F-C943-4A5A-8BB3-059C99C4859E}">
    <filterColumn colId="3">
      <filters>
        <filter val="Baseline for Upgraded Vehicles/Engines"/>
      </filters>
    </filterColumn>
  </autoFilter>
  <mergeCells count="1">
    <mergeCell ref="L4:N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15F3-B52D-43D5-85CB-5B311C1BB523}">
  <dimension ref="A1:G6"/>
  <sheetViews>
    <sheetView workbookViewId="0">
      <selection activeCell="D12" sqref="D12"/>
    </sheetView>
  </sheetViews>
  <sheetFormatPr defaultRowHeight="12.45" customHeight="1"/>
  <cols>
    <col min="1" max="1" width="30.5546875" customWidth="1"/>
    <col min="5" max="5" width="11.5546875" customWidth="1"/>
  </cols>
  <sheetData>
    <row r="1" spans="1:7" ht="12.45" customHeight="1" thickBot="1">
      <c r="A1" s="120" t="s">
        <v>321</v>
      </c>
      <c r="B1" s="121" t="s">
        <v>322</v>
      </c>
      <c r="C1" s="121" t="s">
        <v>70</v>
      </c>
      <c r="D1" s="121" t="s">
        <v>71</v>
      </c>
      <c r="E1" s="121" t="s">
        <v>72</v>
      </c>
      <c r="F1" s="121" t="s">
        <v>323</v>
      </c>
      <c r="G1" s="121" t="s">
        <v>324</v>
      </c>
    </row>
    <row r="2" spans="1:7" ht="12.45" customHeight="1" thickBot="1">
      <c r="A2" s="10" t="s">
        <v>73</v>
      </c>
      <c r="B2" s="141">
        <v>0.67500000000000004</v>
      </c>
      <c r="C2" s="141">
        <v>0.01</v>
      </c>
      <c r="D2" s="141">
        <v>7.0000000000000007E-2</v>
      </c>
      <c r="E2" s="141">
        <v>0.27</v>
      </c>
      <c r="F2" s="142">
        <v>1125</v>
      </c>
      <c r="G2" s="143">
        <v>100000</v>
      </c>
    </row>
    <row r="3" spans="1:7" ht="12.45" customHeight="1" thickBot="1">
      <c r="A3" s="10" t="s">
        <v>74</v>
      </c>
      <c r="B3" s="141">
        <v>0.63400000000000001</v>
      </c>
      <c r="C3" s="141">
        <v>0</v>
      </c>
      <c r="D3" s="141">
        <v>0</v>
      </c>
      <c r="E3" s="141">
        <v>-5.6749999999999998</v>
      </c>
      <c r="F3" s="141">
        <v>121.2</v>
      </c>
      <c r="G3" s="143">
        <v>10769</v>
      </c>
    </row>
    <row r="4" spans="1:7" ht="12.45" customHeight="1" thickBot="1">
      <c r="A4" s="10" t="s">
        <v>75</v>
      </c>
      <c r="B4" s="144">
        <v>0.94</v>
      </c>
      <c r="C4" s="144">
        <v>0</v>
      </c>
      <c r="D4" s="144">
        <v>0</v>
      </c>
      <c r="E4" s="144">
        <v>-20.99</v>
      </c>
      <c r="F4" s="144">
        <v>0.108</v>
      </c>
      <c r="G4" s="144">
        <v>0.108</v>
      </c>
    </row>
    <row r="6" spans="1:7" ht="12.45" customHeight="1">
      <c r="B6">
        <f t="shared" ref="B6:G6" si="0">B2-B3</f>
        <v>4.1000000000000036E-2</v>
      </c>
      <c r="C6">
        <f t="shared" si="0"/>
        <v>0.01</v>
      </c>
      <c r="D6">
        <f t="shared" si="0"/>
        <v>7.0000000000000007E-2</v>
      </c>
      <c r="E6">
        <f t="shared" si="0"/>
        <v>5.9450000000000003</v>
      </c>
      <c r="F6">
        <f t="shared" si="0"/>
        <v>1003.8</v>
      </c>
      <c r="G6">
        <f t="shared" si="0"/>
        <v>89231</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AAE9-B2B7-49BC-B4AB-92825E2F2C00}">
  <dimension ref="A1:G7"/>
  <sheetViews>
    <sheetView workbookViewId="0">
      <selection activeCell="E14" sqref="E14"/>
    </sheetView>
  </sheetViews>
  <sheetFormatPr defaultRowHeight="14.55" customHeight="1"/>
  <cols>
    <col min="1" max="1" width="39.33203125" customWidth="1"/>
    <col min="2" max="2" width="12.21875" customWidth="1"/>
    <col min="5" max="5" width="9.5546875" customWidth="1"/>
  </cols>
  <sheetData>
    <row r="1" spans="1:7" ht="14.55" customHeight="1" thickBot="1">
      <c r="A1" s="120" t="s">
        <v>321</v>
      </c>
      <c r="B1" s="121" t="s">
        <v>322</v>
      </c>
      <c r="C1" s="121" t="s">
        <v>70</v>
      </c>
      <c r="D1" s="121" t="s">
        <v>71</v>
      </c>
      <c r="E1" s="121" t="s">
        <v>72</v>
      </c>
      <c r="F1" s="121" t="s">
        <v>323</v>
      </c>
      <c r="G1" s="121" t="s">
        <v>324</v>
      </c>
    </row>
    <row r="2" spans="1:7" ht="14.55" customHeight="1" thickBot="1">
      <c r="A2" s="122" t="s">
        <v>73</v>
      </c>
      <c r="B2" s="123">
        <v>0.67500000000000004</v>
      </c>
      <c r="C2" s="123">
        <v>0.01</v>
      </c>
      <c r="D2" s="123">
        <v>7.0000000000000007E-2</v>
      </c>
      <c r="E2" s="123">
        <v>0.27</v>
      </c>
      <c r="F2" s="124">
        <v>1125</v>
      </c>
      <c r="G2" s="125">
        <v>100000</v>
      </c>
    </row>
    <row r="3" spans="1:7" ht="14.55" customHeight="1" thickBot="1">
      <c r="A3" s="122" t="s">
        <v>74</v>
      </c>
      <c r="B3" s="123">
        <v>0.63400000000000001</v>
      </c>
      <c r="C3" s="123">
        <v>0</v>
      </c>
      <c r="D3" s="123">
        <v>0</v>
      </c>
      <c r="E3" s="123">
        <v>-5.6749999999999998</v>
      </c>
      <c r="F3" s="123">
        <v>0</v>
      </c>
      <c r="G3" s="123">
        <v>0</v>
      </c>
    </row>
    <row r="4" spans="1:7" ht="14.55" customHeight="1" thickBot="1">
      <c r="A4" s="122" t="s">
        <v>75</v>
      </c>
      <c r="B4" s="126">
        <v>0.94</v>
      </c>
      <c r="C4" s="126">
        <v>0</v>
      </c>
      <c r="D4" s="126">
        <v>0</v>
      </c>
      <c r="E4" s="126">
        <v>-20.99</v>
      </c>
      <c r="F4" s="126">
        <v>0</v>
      </c>
      <c r="G4" s="126">
        <v>0</v>
      </c>
    </row>
    <row r="6" spans="1:7" ht="14.55" customHeight="1">
      <c r="B6">
        <f>B2-B3</f>
        <v>4.1000000000000036E-2</v>
      </c>
      <c r="C6">
        <f t="shared" ref="C6:G6" si="0">C2-C3</f>
        <v>0.01</v>
      </c>
      <c r="D6">
        <f t="shared" si="0"/>
        <v>7.0000000000000007E-2</v>
      </c>
      <c r="E6">
        <f t="shared" si="0"/>
        <v>5.9450000000000003</v>
      </c>
      <c r="F6">
        <f t="shared" si="0"/>
        <v>1125</v>
      </c>
      <c r="G6">
        <f t="shared" si="0"/>
        <v>100000</v>
      </c>
    </row>
    <row r="7" spans="1:7" ht="14.55" customHeight="1">
      <c r="G7" t="s">
        <v>51</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6d87146-bf36-499d-878e-7a509b66727f" xsi:nil="true"/>
  </documentManagement>
</p:properties>
</file>

<file path=customXml/item2.xml>��< ? x m l   v e r s i o n = " 1 . 0 "   e n c o d i n g = " u t f - 1 6 " ? > < D a t a M a s h u p   x m l n s = " h t t p : / / s c h e m a s . m i c r o s o f t . c o m / D a t a M a s h u p " > A A A A A B M D A A B Q S w M E F A A C A A g A a W R G U S 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p Z E Z 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W R G U S i K R 7 g O A A A A E Q A A A B M A H A B G b 3 J t d W x h c y 9 T Z W N 0 a W 9 u M S 5 t I K I Y A C i g F A A A A A A A A A A A A A A A A A A A A A A A A A A A A C t O T S 7 J z M 9 T C I b Q h t Y A U E s B A i 0 A F A A C A A g A a W R G U S o e J 9 O j A A A A 9 Q A A A B I A A A A A A A A A A A A A A A A A A A A A A E N v b m Z p Z y 9 Q Y W N r Y W d l L n h t b F B L A Q I t A B Q A A g A I A G l k R l E P y u m r p A A A A O k A A A A T A A A A A A A A A A A A A A A A A O 8 A A A B b Q 2 9 u d G V u d F 9 U e X B l c 1 0 u e G 1 s U E s B A i 0 A F A A C A A g A a W R G U 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T r m W 2 x A V 9 P o U d 5 u u i A y L g A A A A A A g A A A A A A A 2 Y A A M A A A A A Q A A A A v B b s a s a I D 5 G l 7 t C y f i L L R g A A A A A E g A A A o A A A A B A A A A D t M N y W O z o 4 s S Q / f D I 2 B G G 4 U A A A A K j q J Y E A Z m m S m P 2 g F K N q i y + q b z M K / v 0 R X K 2 Q J M p f 8 P f e u p m 7 D L e i 3 d B s o x v v T x e j g Z q q M R R n + E g l K K t W O Q P K u + O x B v z o w z z p O F G x 2 O d k d a I K F A A A A J D K p 4 t b H W 8 b I S v z N N v T N Q m A p 8 v d < / D a t a M a s h u p > 
</file>

<file path=customXml/item3.xml><?xml version="1.0" encoding="utf-8"?>
<ct:contentTypeSchema xmlns:ct="http://schemas.microsoft.com/office/2006/metadata/contentType" xmlns:ma="http://schemas.microsoft.com/office/2006/metadata/properties/metaAttributes" ct:_="" ma:_="" ma:contentTypeName="Document" ma:contentTypeID="0x010100C31D28A95CC5044190A63A5FD8A10182" ma:contentTypeVersion="15" ma:contentTypeDescription="Create a new document." ma:contentTypeScope="" ma:versionID="2cb64d61c54c3693cd4c5181e5cb6e26">
  <xsd:schema xmlns:xsd="http://www.w3.org/2001/XMLSchema" xmlns:xs="http://www.w3.org/2001/XMLSchema" xmlns:p="http://schemas.microsoft.com/office/2006/metadata/properties" xmlns:ns3="f6d87146-bf36-499d-878e-7a509b66727f" xmlns:ns4="f2a3b340-003b-4fee-9c12-2d8bccb7c72c" targetNamespace="http://schemas.microsoft.com/office/2006/metadata/properties" ma:root="true" ma:fieldsID="a6734c79c346c07fd6c613864f29b769" ns3:_="" ns4:_="">
    <xsd:import namespace="f6d87146-bf36-499d-878e-7a509b66727f"/>
    <xsd:import namespace="f2a3b340-003b-4fee-9c12-2d8bccb7c72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d87146-bf36-499d-878e-7a509b6672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a3b340-003b-4fee-9c12-2d8bccb7c72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BD27E4-AEA6-4E0D-A0B6-EF5E5C74C382}">
  <ds:schemaRefs>
    <ds:schemaRef ds:uri="http://purl.org/dc/terms/"/>
    <ds:schemaRef ds:uri="http://schemas.microsoft.com/office/infopath/2007/PartnerControls"/>
    <ds:schemaRef ds:uri="f6d87146-bf36-499d-878e-7a509b66727f"/>
    <ds:schemaRef ds:uri="http://www.w3.org/XML/1998/namespace"/>
    <ds:schemaRef ds:uri="http://schemas.microsoft.com/office/2006/metadata/properties"/>
    <ds:schemaRef ds:uri="http://purl.org/dc/dcmitype/"/>
    <ds:schemaRef ds:uri="f2a3b340-003b-4fee-9c12-2d8bccb7c72c"/>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AE8A568-F5BC-4198-B896-7038E1AD3BBB}">
  <ds:schemaRefs>
    <ds:schemaRef ds:uri="http://schemas.microsoft.com/DataMashup"/>
  </ds:schemaRefs>
</ds:datastoreItem>
</file>

<file path=customXml/itemProps3.xml><?xml version="1.0" encoding="utf-8"?>
<ds:datastoreItem xmlns:ds="http://schemas.openxmlformats.org/officeDocument/2006/customXml" ds:itemID="{97BCD555-80B0-4EBC-B331-70B22E31C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d87146-bf36-499d-878e-7a509b66727f"/>
    <ds:schemaRef ds:uri="f2a3b340-003b-4fee-9c12-2d8bccb7c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F93F01-007A-4628-B2C2-28280DB0CE4C}">
  <ds:schemaRefs>
    <ds:schemaRef ds:uri="http://schemas.microsoft.com/sharepoint/v3/contenttype/forms"/>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Application</vt:lpstr>
      <vt:lpstr>Bus Fleet</vt:lpstr>
      <vt:lpstr>ForEPA</vt:lpstr>
      <vt:lpstr>DropDown</vt:lpstr>
      <vt:lpstr>EF</vt:lpstr>
      <vt:lpstr>DEQ</vt:lpstr>
      <vt:lpstr>LPG</vt:lpstr>
      <vt:lpstr>CNG</vt:lpstr>
    </vt:vector>
  </TitlesOfParts>
  <Company>Georgia Department of Natural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Stacy Allman</dc:creator>
  <cp:lastModifiedBy>Wang, Jing</cp:lastModifiedBy>
  <cp:lastPrinted>2020-12-10T19:15:05Z</cp:lastPrinted>
  <dcterms:created xsi:type="dcterms:W3CDTF">2016-09-23T14:35:00Z</dcterms:created>
  <dcterms:modified xsi:type="dcterms:W3CDTF">2025-06-26T21:06:39Z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0x010100C31D28A95CC5044190A63A5FD8A10182</vt:lpwstr>
  </property>
</Properties>
</file>