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Jim_Boylan\1_P&amp;S_Program_PM2_Tasks\SIPs\1-123_Regional_Haze_2028\VISTAS_SIP_TEMPLATE_WORKGROUP\Cost_per_Ton_Thresholds\"/>
    </mc:Choice>
  </mc:AlternateContent>
  <xr:revisionPtr revIDLastSave="0" documentId="13_ncr:1_{58A561E6-B241-4014-88A9-80860165489E}" xr6:coauthVersionLast="47" xr6:coauthVersionMax="47" xr10:uidLastSave="{00000000-0000-0000-0000-000000000000}"/>
  <bookViews>
    <workbookView xWindow="390" yWindow="390" windowWidth="26925" windowHeight="14700" activeTab="2" xr2:uid="{00000000-000D-0000-FFFF-FFFF00000000}"/>
  </bookViews>
  <sheets>
    <sheet name="Cover Page" sheetId="5" r:id="rId1"/>
    <sheet name="Read Me" sheetId="1" r:id="rId2"/>
    <sheet name="Descriptive Stats PP1" sheetId="4" r:id="rId3"/>
    <sheet name="BART and RP Determination Costs" sheetId="2" r:id="rId4"/>
    <sheet name="CEPCI Index" sheetId="3" r:id="rId5"/>
    <sheet name="TN-Alcoa 2007 BART" sheetId="7" r:id="rId6"/>
    <sheet name="TN-Eastman 2007 BART" sheetId="8" r:id="rId7"/>
    <sheet name="TN-TVA Cumberland 2007 BART" sheetId="9" r:id="rId8"/>
    <sheet name="TN-DuPont 2007 BART" sheetId="10" r:id="rId9"/>
    <sheet name="Sheet1" sheetId="6" r:id="rId10"/>
  </sheets>
  <definedNames>
    <definedName name="_xlnm._FilterDatabase" localSheetId="3" hidden="1">'BART and RP Determination Costs'!$A$2:$R$162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7" l="1"/>
  <c r="G4" i="7"/>
  <c r="E5" i="7"/>
  <c r="E6" i="7"/>
  <c r="C23" i="3" l="1"/>
  <c r="C22" i="3"/>
  <c r="C21" i="3"/>
  <c r="C20" i="3"/>
  <c r="C19" i="3"/>
  <c r="C18" i="3"/>
  <c r="C17" i="3"/>
  <c r="C16" i="3"/>
  <c r="C15" i="3"/>
  <c r="C14" i="3"/>
  <c r="C13" i="3"/>
  <c r="C12" i="3"/>
  <c r="C11" i="3"/>
  <c r="C10" i="3"/>
  <c r="C9" i="3"/>
  <c r="C8" i="3"/>
  <c r="C7" i="3"/>
  <c r="C6" i="3"/>
  <c r="C5" i="3"/>
  <c r="C4" i="3"/>
  <c r="C3" i="3"/>
  <c r="C2" i="3"/>
  <c r="P141" i="2" l="1"/>
  <c r="Q141" i="2" s="1"/>
  <c r="P108" i="2"/>
  <c r="Q108" i="2" s="1"/>
  <c r="P140" i="2"/>
  <c r="Q140" i="2" s="1"/>
  <c r="P132" i="2"/>
  <c r="Q132" i="2" s="1"/>
  <c r="P46" i="2"/>
  <c r="Q46" i="2" s="1"/>
  <c r="P43" i="2"/>
  <c r="Q43" i="2" s="1"/>
  <c r="P109" i="2"/>
  <c r="Q109" i="2" s="1"/>
  <c r="P21" i="2"/>
  <c r="Q21" i="2" s="1"/>
  <c r="P139" i="2"/>
  <c r="Q139" i="2" s="1"/>
  <c r="P42" i="2"/>
  <c r="Q42" i="2" s="1"/>
  <c r="P49" i="2"/>
  <c r="Q49" i="2" s="1"/>
  <c r="P22" i="2"/>
  <c r="Q22" i="2" s="1"/>
  <c r="P89" i="2"/>
  <c r="Q89" i="2" s="1"/>
  <c r="P88" i="2"/>
  <c r="Q88" i="2" s="1"/>
  <c r="P90" i="2"/>
  <c r="Q90" i="2" s="1"/>
  <c r="P133" i="2"/>
  <c r="Q133" i="2" s="1"/>
  <c r="P105" i="2"/>
  <c r="Q105" i="2" s="1"/>
  <c r="P52" i="2"/>
  <c r="Q52" i="2" s="1"/>
  <c r="P25" i="2"/>
  <c r="Q25" i="2" s="1"/>
  <c r="P136" i="2"/>
  <c r="Q136" i="2" s="1"/>
  <c r="P135" i="2"/>
  <c r="Q135" i="2" s="1"/>
  <c r="P145" i="2"/>
  <c r="Q145" i="2" s="1"/>
  <c r="P48" i="2"/>
  <c r="Q48" i="2" s="1"/>
  <c r="P47" i="2"/>
  <c r="Q47" i="2" s="1"/>
  <c r="P53" i="2"/>
  <c r="Q53" i="2" s="1"/>
  <c r="P27" i="2"/>
  <c r="Q27" i="2" s="1"/>
  <c r="P138" i="2"/>
  <c r="Q138" i="2" s="1"/>
  <c r="P44" i="2"/>
  <c r="Q44" i="2" s="1"/>
  <c r="P26" i="2"/>
  <c r="Q26" i="2" s="1"/>
  <c r="P137" i="2"/>
  <c r="Q137" i="2" s="1"/>
  <c r="P24" i="2"/>
  <c r="Q24" i="2" s="1"/>
  <c r="P23" i="2"/>
  <c r="Q23" i="2" s="1"/>
  <c r="P134" i="2"/>
  <c r="Q134" i="2" s="1"/>
  <c r="P144" i="2"/>
  <c r="P143" i="2"/>
  <c r="Q143" i="2" s="1"/>
  <c r="P12" i="2"/>
  <c r="Q12" i="2" s="1"/>
  <c r="P103" i="2"/>
  <c r="Q103" i="2" s="1"/>
  <c r="P102" i="2"/>
  <c r="Q102" i="2" s="1"/>
  <c r="P15" i="2"/>
  <c r="Q15" i="2" s="1"/>
  <c r="P14" i="2"/>
  <c r="Q14" i="2" s="1"/>
  <c r="P151" i="2"/>
  <c r="Q151" i="2" s="1"/>
  <c r="P11" i="2"/>
  <c r="Q11" i="2" s="1"/>
  <c r="P10" i="2"/>
  <c r="Q10" i="2" s="1"/>
  <c r="P104" i="2"/>
  <c r="Q104" i="2" s="1"/>
  <c r="P101" i="2"/>
  <c r="Q101" i="2" s="1"/>
  <c r="P13" i="2"/>
  <c r="Q13" i="2" s="1"/>
  <c r="P124" i="2"/>
  <c r="Q124" i="2" s="1"/>
  <c r="P123" i="2"/>
  <c r="Q123" i="2" s="1"/>
  <c r="P121" i="2"/>
  <c r="Q121" i="2" s="1"/>
  <c r="P36" i="2"/>
  <c r="Q36" i="2" s="1"/>
  <c r="P122" i="2"/>
  <c r="Q122" i="2" s="1"/>
  <c r="P45" i="2"/>
  <c r="Q45" i="2" s="1"/>
  <c r="Q162" i="2"/>
  <c r="P162" i="2"/>
  <c r="P71" i="2"/>
  <c r="Q71" i="2" s="1"/>
  <c r="P161" i="2"/>
  <c r="Q161" i="2" s="1"/>
  <c r="P78" i="2"/>
  <c r="Q78" i="2" s="1"/>
  <c r="P70" i="2"/>
  <c r="Q70" i="2" s="1"/>
  <c r="P150" i="2"/>
  <c r="Q150" i="2" s="1"/>
  <c r="P84" i="2"/>
  <c r="Q84" i="2" s="1"/>
  <c r="P68" i="2"/>
  <c r="Q68" i="2" s="1"/>
  <c r="P75" i="2"/>
  <c r="Q75" i="2" s="1"/>
  <c r="P82" i="2"/>
  <c r="Q82" i="2" s="1"/>
  <c r="P66" i="2"/>
  <c r="Q66" i="2" s="1"/>
  <c r="P81" i="2"/>
  <c r="Q81" i="2" s="1"/>
  <c r="P73" i="2"/>
  <c r="Q73" i="2" s="1"/>
  <c r="P125" i="2"/>
  <c r="Q125" i="2" s="1"/>
  <c r="P93" i="2"/>
  <c r="Q93" i="2" s="1"/>
  <c r="P85" i="2"/>
  <c r="Q85" i="2" s="1"/>
  <c r="P77" i="2"/>
  <c r="Q77" i="2" s="1"/>
  <c r="P69" i="2"/>
  <c r="Q69" i="2" s="1"/>
  <c r="P76" i="2"/>
  <c r="Q76" i="2" s="1"/>
  <c r="P83" i="2"/>
  <c r="Q83" i="2" s="1"/>
  <c r="P67" i="2"/>
  <c r="Q67" i="2" s="1"/>
  <c r="P33" i="2"/>
  <c r="Q33" i="2" s="1"/>
  <c r="P95" i="2"/>
  <c r="Q95" i="2" s="1"/>
  <c r="P74" i="2"/>
  <c r="Q74" i="2" s="1"/>
  <c r="P126" i="2"/>
  <c r="Q126" i="2" s="1"/>
  <c r="P94" i="2"/>
  <c r="Q94" i="2" s="1"/>
  <c r="P65" i="2"/>
  <c r="Q65" i="2" s="1"/>
  <c r="P72" i="2"/>
  <c r="Q72" i="2" s="1"/>
  <c r="P160" i="2"/>
  <c r="Q160" i="2" s="1"/>
  <c r="P152" i="2"/>
  <c r="Q152" i="2" s="1"/>
  <c r="P3" i="2"/>
  <c r="Q3" i="2" s="1"/>
  <c r="C18" i="4" s="1"/>
  <c r="P38" i="2"/>
  <c r="Q38" i="2" s="1"/>
  <c r="P37" i="2"/>
  <c r="Q37" i="2" s="1"/>
  <c r="D20" i="4" s="1"/>
  <c r="P39" i="2"/>
  <c r="Q39" i="2" s="1"/>
  <c r="F20" i="4" s="1"/>
  <c r="G20" i="4" s="1"/>
  <c r="P153" i="2"/>
  <c r="Q153" i="2" s="1"/>
  <c r="P127" i="2"/>
  <c r="Q127" i="2" s="1"/>
  <c r="P34" i="2"/>
  <c r="Q34" i="2" s="1"/>
  <c r="P129" i="2"/>
  <c r="Q129" i="2" s="1"/>
  <c r="P155" i="2"/>
  <c r="Q155" i="2" s="1"/>
  <c r="P35" i="2"/>
  <c r="Q35" i="2" s="1"/>
  <c r="P87" i="2"/>
  <c r="Q87" i="2" s="1"/>
  <c r="P128" i="2"/>
  <c r="Q128" i="2" s="1"/>
  <c r="J25" i="4" s="1"/>
  <c r="P86" i="2"/>
  <c r="Q86" i="2" s="1"/>
  <c r="P154" i="2"/>
  <c r="Q154" i="2" s="1"/>
  <c r="P92" i="2"/>
  <c r="P107" i="2"/>
  <c r="Q107" i="2" s="1"/>
  <c r="P91" i="2"/>
  <c r="Q91" i="2" s="1"/>
  <c r="P106" i="2"/>
  <c r="Q106" i="2" s="1"/>
  <c r="P20" i="2"/>
  <c r="Q20" i="2" s="1"/>
  <c r="P18" i="2"/>
  <c r="Q18" i="2" s="1"/>
  <c r="P19" i="2"/>
  <c r="Q19" i="2" s="1"/>
  <c r="P17" i="2"/>
  <c r="Q17" i="2" s="1"/>
  <c r="P16" i="2"/>
  <c r="Q16" i="2" s="1"/>
  <c r="P41" i="2"/>
  <c r="Q41" i="2" s="1"/>
  <c r="P40" i="2"/>
  <c r="Q40" i="2" s="1"/>
  <c r="Q148" i="2"/>
  <c r="P131" i="2"/>
  <c r="Q131" i="2" s="1"/>
  <c r="D24" i="4" s="1"/>
  <c r="P130" i="2"/>
  <c r="Q130" i="2" s="1"/>
  <c r="P113" i="2"/>
  <c r="Q113" i="2" s="1"/>
  <c r="P148" i="2"/>
  <c r="Q159" i="2"/>
  <c r="P149" i="2"/>
  <c r="Q149" i="2" s="1"/>
  <c r="P9" i="2"/>
  <c r="Q9" i="2" s="1"/>
  <c r="P156" i="2"/>
  <c r="Q156" i="2" s="1"/>
  <c r="P8" i="2"/>
  <c r="Q8" i="2" s="1"/>
  <c r="D18" i="4" s="1"/>
  <c r="P159" i="2"/>
  <c r="P158" i="2"/>
  <c r="Q158" i="2" s="1"/>
  <c r="P157" i="2"/>
  <c r="P116" i="2"/>
  <c r="Q116" i="2" s="1"/>
  <c r="P100" i="2"/>
  <c r="Q100" i="2" s="1"/>
  <c r="P79" i="2"/>
  <c r="Q79" i="2" s="1"/>
  <c r="P63" i="2"/>
  <c r="Q63" i="2" s="1"/>
  <c r="P55" i="2"/>
  <c r="Q55" i="2" s="1"/>
  <c r="P142" i="2"/>
  <c r="Q142" i="2" s="1"/>
  <c r="P115" i="2"/>
  <c r="Q115" i="2" s="1"/>
  <c r="P99" i="2"/>
  <c r="Q99" i="2" s="1"/>
  <c r="P62" i="2"/>
  <c r="Q62" i="2" s="1"/>
  <c r="P54" i="2"/>
  <c r="Q54" i="2" s="1"/>
  <c r="P28" i="2"/>
  <c r="Q28" i="2" s="1"/>
  <c r="P4" i="2"/>
  <c r="Q4" i="2" s="1"/>
  <c r="E18" i="4" s="1"/>
  <c r="P112" i="2"/>
  <c r="Q112" i="2" s="1"/>
  <c r="P96" i="2"/>
  <c r="Q96" i="2" s="1"/>
  <c r="P59" i="2"/>
  <c r="Q59" i="2" s="1"/>
  <c r="P119" i="2"/>
  <c r="Q119" i="2" s="1"/>
  <c r="P50" i="2"/>
  <c r="Q50" i="2" s="1"/>
  <c r="P32" i="2"/>
  <c r="Q32" i="2" s="1"/>
  <c r="P118" i="2"/>
  <c r="Q118" i="2" s="1"/>
  <c r="P57" i="2"/>
  <c r="Q57" i="2" s="1"/>
  <c r="P31" i="2"/>
  <c r="Q31" i="2" s="1"/>
  <c r="P146" i="2"/>
  <c r="Q146" i="2" s="1"/>
  <c r="P64" i="2"/>
  <c r="Q64" i="2" s="1"/>
  <c r="P30" i="2"/>
  <c r="Q30" i="2" s="1"/>
  <c r="P114" i="2"/>
  <c r="Q114" i="2" s="1"/>
  <c r="P98" i="2"/>
  <c r="Q98" i="2" s="1"/>
  <c r="P61" i="2"/>
  <c r="Q61" i="2" s="1"/>
  <c r="P97" i="2"/>
  <c r="Q97" i="2" s="1"/>
  <c r="P60" i="2"/>
  <c r="Q60" i="2" s="1"/>
  <c r="P120" i="2"/>
  <c r="Q120" i="2" s="1"/>
  <c r="P51" i="2"/>
  <c r="Q51" i="2" s="1"/>
  <c r="P111" i="2"/>
  <c r="Q111" i="2" s="1"/>
  <c r="P58" i="2"/>
  <c r="Q58" i="2" s="1"/>
  <c r="P147" i="2"/>
  <c r="Q147" i="2" s="1"/>
  <c r="E23" i="4" s="1"/>
  <c r="H23" i="4" s="1"/>
  <c r="K23" i="4" s="1"/>
  <c r="L23" i="4" s="1"/>
  <c r="P110" i="2"/>
  <c r="Q110" i="2" s="1"/>
  <c r="P7" i="2"/>
  <c r="Q7" i="2" s="1"/>
  <c r="P117" i="2"/>
  <c r="Q117" i="2" s="1"/>
  <c r="P56" i="2"/>
  <c r="Q56" i="2" s="1"/>
  <c r="P6" i="2"/>
  <c r="Q6" i="2" s="1"/>
  <c r="P29" i="2"/>
  <c r="Q29" i="2" s="1"/>
  <c r="P80" i="2"/>
  <c r="Q80" i="2" s="1"/>
  <c r="P5" i="2"/>
  <c r="Q5" i="2" s="1"/>
  <c r="D25" i="4"/>
  <c r="I27" i="4"/>
  <c r="I20" i="4"/>
  <c r="I22" i="4"/>
  <c r="F18" i="4"/>
  <c r="G18" i="4" s="1"/>
  <c r="I24" i="4"/>
  <c r="J23" i="4"/>
  <c r="F23" i="4"/>
  <c r="G23" i="4" s="1"/>
  <c r="I23" i="4"/>
  <c r="Q92" i="2"/>
  <c r="Q157" i="2"/>
  <c r="Q27" i="4" l="1"/>
  <c r="O27" i="4"/>
  <c r="T27" i="4"/>
  <c r="N27" i="4"/>
  <c r="P27" i="4"/>
  <c r="M27" i="4"/>
  <c r="S27" i="4"/>
  <c r="R27" i="4"/>
  <c r="Q26" i="4"/>
  <c r="T26" i="4"/>
  <c r="M26" i="4"/>
  <c r="N26" i="4"/>
  <c r="P26" i="4"/>
  <c r="S26" i="4"/>
  <c r="O26" i="4"/>
  <c r="R26" i="4"/>
  <c r="T19" i="4"/>
  <c r="N19" i="4"/>
  <c r="P19" i="4"/>
  <c r="S19" i="4"/>
  <c r="M19" i="4"/>
  <c r="R19" i="4"/>
  <c r="Q19" i="4"/>
  <c r="O19" i="4"/>
  <c r="F26" i="4"/>
  <c r="G26" i="4" s="1"/>
  <c r="E24" i="4"/>
  <c r="J22" i="4"/>
  <c r="J20" i="4"/>
  <c r="J27" i="4"/>
  <c r="I25" i="4"/>
  <c r="C27" i="4"/>
  <c r="T29" i="4"/>
  <c r="R18" i="4"/>
  <c r="N29" i="4"/>
  <c r="Q18" i="4"/>
  <c r="P21" i="4"/>
  <c r="T18" i="4"/>
  <c r="S21" i="4"/>
  <c r="P29" i="4"/>
  <c r="S29" i="4"/>
  <c r="N18" i="4"/>
  <c r="M21" i="4"/>
  <c r="S18" i="4"/>
  <c r="O29" i="4"/>
  <c r="R29" i="4"/>
  <c r="M18" i="4"/>
  <c r="M29" i="4"/>
  <c r="P18" i="4"/>
  <c r="O21" i="4"/>
  <c r="R21" i="4"/>
  <c r="Q21" i="4"/>
  <c r="T21" i="4"/>
  <c r="Q29" i="4"/>
  <c r="O18" i="4"/>
  <c r="N21" i="4"/>
  <c r="J29" i="4"/>
  <c r="I29" i="4"/>
  <c r="E29" i="4"/>
  <c r="D29" i="4"/>
  <c r="F29" i="4"/>
  <c r="G29" i="4" s="1"/>
  <c r="C29" i="4"/>
  <c r="I26" i="4"/>
  <c r="D22" i="4"/>
  <c r="E25" i="4"/>
  <c r="H25" i="4" s="1"/>
  <c r="K25" i="4" s="1"/>
  <c r="L25" i="4" s="1"/>
  <c r="E26" i="4"/>
  <c r="F24" i="4"/>
  <c r="G24" i="4" s="1"/>
  <c r="F22" i="4"/>
  <c r="G22" i="4" s="1"/>
  <c r="D23" i="4"/>
  <c r="J24" i="4"/>
  <c r="I21" i="4"/>
  <c r="E20" i="4"/>
  <c r="H20" i="4" s="1"/>
  <c r="K20" i="4" s="1"/>
  <c r="L20" i="4" s="1"/>
  <c r="J26" i="4"/>
  <c r="F25" i="4"/>
  <c r="G25" i="4" s="1"/>
  <c r="C24" i="4"/>
  <c r="I18" i="4"/>
  <c r="C20" i="4"/>
  <c r="C26" i="4"/>
  <c r="R20" i="4"/>
  <c r="N20" i="4"/>
  <c r="P20" i="4"/>
  <c r="O20" i="4"/>
  <c r="S20" i="4"/>
  <c r="M20" i="4"/>
  <c r="Q20" i="4"/>
  <c r="T20" i="4"/>
  <c r="T28" i="4"/>
  <c r="S28" i="4"/>
  <c r="R28" i="4"/>
  <c r="Q28" i="4"/>
  <c r="I28" i="4"/>
  <c r="P28" i="4"/>
  <c r="O28" i="4"/>
  <c r="N28" i="4"/>
  <c r="F28" i="4"/>
  <c r="G28" i="4" s="1"/>
  <c r="M28" i="4"/>
  <c r="E28" i="4"/>
  <c r="H28" i="4" s="1"/>
  <c r="K28" i="4" s="1"/>
  <c r="L28" i="4" s="1"/>
  <c r="D28" i="4"/>
  <c r="C28" i="4"/>
  <c r="J28" i="4"/>
  <c r="P22" i="4"/>
  <c r="S22" i="4"/>
  <c r="R25" i="4"/>
  <c r="M22" i="4"/>
  <c r="Q25" i="4"/>
  <c r="T22" i="4"/>
  <c r="T25" i="4"/>
  <c r="O22" i="4"/>
  <c r="Q22" i="4"/>
  <c r="R22" i="4"/>
  <c r="N25" i="4"/>
  <c r="P25" i="4"/>
  <c r="S25" i="4"/>
  <c r="N22" i="4"/>
  <c r="M25" i="4"/>
  <c r="O25" i="4"/>
  <c r="F27" i="4"/>
  <c r="G27" i="4" s="1"/>
  <c r="E22" i="4"/>
  <c r="H22" i="4" s="1"/>
  <c r="C23" i="4"/>
  <c r="J18" i="4"/>
  <c r="D27" i="4"/>
  <c r="C22" i="4"/>
  <c r="E27" i="4"/>
  <c r="C25" i="4"/>
  <c r="S23" i="4"/>
  <c r="M23" i="4"/>
  <c r="O23" i="4"/>
  <c r="R23" i="4"/>
  <c r="T23" i="4"/>
  <c r="Q23" i="4"/>
  <c r="P23" i="4"/>
  <c r="N23" i="4"/>
  <c r="O24" i="4"/>
  <c r="R24" i="4"/>
  <c r="P24" i="4"/>
  <c r="Q24" i="4"/>
  <c r="T24" i="4"/>
  <c r="N24" i="4"/>
  <c r="S24" i="4"/>
  <c r="M24" i="4"/>
  <c r="H26" i="4"/>
  <c r="K26" i="4" s="1"/>
  <c r="J19" i="4"/>
  <c r="H27" i="4"/>
  <c r="K27" i="4" s="1"/>
  <c r="L27" i="4" s="1"/>
  <c r="H24" i="4"/>
  <c r="K24" i="4" s="1"/>
  <c r="L24" i="4" s="1"/>
  <c r="E19" i="4"/>
  <c r="H18" i="4"/>
  <c r="K18" i="4" s="1"/>
  <c r="C21" i="4"/>
  <c r="D26" i="4"/>
  <c r="J21" i="4"/>
  <c r="D21" i="4"/>
  <c r="K22" i="4"/>
  <c r="L22" i="4" s="1"/>
  <c r="F19" i="4"/>
  <c r="G19" i="4" s="1"/>
  <c r="C19" i="4"/>
  <c r="F21" i="4"/>
  <c r="G21" i="4" s="1"/>
  <c r="I19" i="4"/>
  <c r="D19" i="4"/>
  <c r="E21" i="4"/>
  <c r="L26" i="4" l="1"/>
  <c r="H29" i="4"/>
  <c r="K29" i="4" s="1"/>
  <c r="L29" i="4" s="1"/>
  <c r="L18" i="4"/>
  <c r="H21" i="4"/>
  <c r="K21" i="4" s="1"/>
  <c r="L21" i="4" s="1"/>
  <c r="H19" i="4"/>
  <c r="K19" i="4" l="1"/>
  <c r="L1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Travis Blake</author>
  </authors>
  <commentList>
    <comment ref="E4" authorId="0" shapeId="0" xr:uid="{00000000-0006-0000-0500-000001000000}">
      <text>
        <r>
          <rPr>
            <b/>
            <sz val="9"/>
            <color indexed="81"/>
            <rFont val="Tahoma"/>
            <family val="2"/>
          </rPr>
          <t>Travis Blake:</t>
        </r>
        <r>
          <rPr>
            <sz val="9"/>
            <color indexed="81"/>
            <rFont val="Tahoma"/>
            <family val="2"/>
          </rPr>
          <t xml:space="preserve">
compared to uncontrolled PTE</t>
        </r>
      </text>
    </comment>
    <comment ref="G4" authorId="0" shapeId="0" xr:uid="{00000000-0006-0000-0500-000002000000}">
      <text>
        <r>
          <rPr>
            <b/>
            <sz val="9"/>
            <color indexed="81"/>
            <rFont val="Tahoma"/>
            <family val="2"/>
          </rPr>
          <t>Travis Blake:</t>
        </r>
        <r>
          <rPr>
            <sz val="9"/>
            <color indexed="81"/>
            <rFont val="Tahoma"/>
            <family val="2"/>
          </rPr>
          <t xml:space="preserve">
compared to uncontrolled PTE</t>
        </r>
      </text>
    </comment>
    <comment ref="E5" authorId="0" shapeId="0" xr:uid="{00000000-0006-0000-0500-000003000000}">
      <text>
        <r>
          <rPr>
            <b/>
            <sz val="9"/>
            <color indexed="81"/>
            <rFont val="Tahoma"/>
            <family val="2"/>
          </rPr>
          <t>Travis Blake:</t>
        </r>
        <r>
          <rPr>
            <sz val="9"/>
            <color indexed="81"/>
            <rFont val="Tahoma"/>
            <family val="2"/>
          </rPr>
          <t xml:space="preserve">
Compared to 3.0% sulfur coke with no additional controls</t>
        </r>
      </text>
    </comment>
    <comment ref="G5" authorId="0" shapeId="0" xr:uid="{00000000-0006-0000-0500-000004000000}">
      <text>
        <r>
          <rPr>
            <b/>
            <sz val="9"/>
            <color indexed="81"/>
            <rFont val="Tahoma"/>
            <family val="2"/>
          </rPr>
          <t>Travis Blake:</t>
        </r>
        <r>
          <rPr>
            <sz val="9"/>
            <color indexed="81"/>
            <rFont val="Tahoma"/>
            <family val="2"/>
          </rPr>
          <t xml:space="preserve">
Compared to 3.0% sulfur coke with no additional controls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Travis Blake</author>
  </authors>
  <commentList>
    <comment ref="H8" authorId="0" shapeId="0" xr:uid="{00000000-0006-0000-0600-000001000000}">
      <text>
        <r>
          <rPr>
            <b/>
            <sz val="9"/>
            <color indexed="81"/>
            <rFont val="Tahoma"/>
            <family val="2"/>
          </rPr>
          <t>Travis Blake:</t>
        </r>
        <r>
          <rPr>
            <sz val="9"/>
            <color indexed="81"/>
            <rFont val="Tahoma"/>
            <family val="2"/>
          </rPr>
          <t xml:space="preserve">
Later superseded by alternative BART (convert to natural gas)</t>
        </r>
      </text>
    </comment>
    <comment ref="A10" authorId="0" shapeId="0" xr:uid="{00000000-0006-0000-0600-000002000000}">
      <text>
        <r>
          <rPr>
            <b/>
            <sz val="9"/>
            <color indexed="81"/>
            <rFont val="Tahoma"/>
            <family val="2"/>
          </rPr>
          <t>Travis Blake:</t>
        </r>
        <r>
          <rPr>
            <sz val="9"/>
            <color indexed="81"/>
            <rFont val="Tahoma"/>
            <family val="2"/>
          </rPr>
          <t xml:space="preserve">
*Dual alkali provided for information.  Its large footprint either eliminates it as an option or drives up cost considerably to relocate buildings, railroad tracks, ash ponds, etc.  Also, its use has been extremely limited and Eastman's confidence that it can be successfully operated is low.</t>
        </r>
      </text>
    </comment>
  </commentList>
</comments>
</file>

<file path=xl/sharedStrings.xml><?xml version="1.0" encoding="utf-8"?>
<sst xmlns="http://schemas.openxmlformats.org/spreadsheetml/2006/main" count="1907" uniqueCount="547">
  <si>
    <t>DRAFT</t>
  </si>
  <si>
    <t>State</t>
  </si>
  <si>
    <t>Link to final approved action</t>
  </si>
  <si>
    <t>Facility Name</t>
  </si>
  <si>
    <t>Facility NAICS Code</t>
  </si>
  <si>
    <t>Facility NAICS Description</t>
  </si>
  <si>
    <t>Emission Unit</t>
  </si>
  <si>
    <t>Emission Unit Description</t>
  </si>
  <si>
    <t>Control Technology Selected</t>
  </si>
  <si>
    <t>Unit Type When Assessed for BART or RP</t>
  </si>
  <si>
    <t>Size</t>
  </si>
  <si>
    <t>Size Unit</t>
  </si>
  <si>
    <t>Cost-effectiveness ($/ton)</t>
  </si>
  <si>
    <t>Year basis for Cost-effectiveness</t>
  </si>
  <si>
    <t>BART or RP?</t>
  </si>
  <si>
    <t>Notes</t>
  </si>
  <si>
    <t>Conversion Factor to 2020 using https://data.bls.gov/cgi-bin/cpicalc.pl</t>
  </si>
  <si>
    <t>Cost-effectiveness in $2020 ($/ton)</t>
  </si>
  <si>
    <t>Equipment Type Category</t>
  </si>
  <si>
    <t>AK</t>
  </si>
  <si>
    <t>https://www.regulations.gov/docket?D=EPA-R10-OAR-2011-0367</t>
  </si>
  <si>
    <t xml:space="preserve"> Golden Valley Electric Association, Healy Power Plant</t>
  </si>
  <si>
    <t>Fossil Fuel Electric Power Generation</t>
  </si>
  <si>
    <t>Unit 1</t>
  </si>
  <si>
    <t xml:space="preserve"> 25-MW boiler </t>
  </si>
  <si>
    <t>SNCR</t>
  </si>
  <si>
    <t>EGU Coal-Fired Boiler</t>
  </si>
  <si>
    <t>MW</t>
  </si>
  <si>
    <t>BART</t>
  </si>
  <si>
    <t>State found that it was 4028 Based on 8 year RUL, however, there was no enforceable shutdown date. Based on a 15 year life, EPA determined that it was 3125</t>
  </si>
  <si>
    <t>EGU BOILER &lt;200 MW</t>
  </si>
  <si>
    <t>AR</t>
  </si>
  <si>
    <t>https://www.govinfo.gov/content/pkg/FR-2019-09-27/pdf/2019-19497.pdf</t>
  </si>
  <si>
    <t>Carl E. Bailey</t>
  </si>
  <si>
    <t xml:space="preserve">122 megawatt wall-fired oil/natural gas-fired boiler </t>
  </si>
  <si>
    <t>0.5% sulfur content fuel</t>
  </si>
  <si>
    <t>EGU Oil-Fired Boiler</t>
  </si>
  <si>
    <t>McClellan</t>
  </si>
  <si>
    <t>AZ</t>
  </si>
  <si>
    <t>https://www.regulations.gov/docket?D=EPA-R09-OAR-2012-0904</t>
  </si>
  <si>
    <t>Apache Generating Station</t>
  </si>
  <si>
    <t>Unit 2</t>
  </si>
  <si>
    <t>Riley TURBO wall-fired boiler - 20.4 MW</t>
  </si>
  <si>
    <t>SCR with LNB and OFA</t>
  </si>
  <si>
    <t>They did not provide a year for their dollar basis, therefore it is assumed to be the year the analysis occurred</t>
  </si>
  <si>
    <t>https://www.regulations.gov/docket?D=EPA-R09-OAR-2012-0905</t>
  </si>
  <si>
    <t>Unit3</t>
  </si>
  <si>
    <t>Riley TURBO wall-fired boiler - 78.8 MW</t>
  </si>
  <si>
    <t>https://www.regulations.gov/docket?D=EPA-R09-OAR-2013-0590</t>
  </si>
  <si>
    <t>TEP Sundt Generatin Station</t>
  </si>
  <si>
    <t>Unit 4</t>
  </si>
  <si>
    <t>Tangentially-fired</t>
  </si>
  <si>
    <t xml:space="preserve">SNCR </t>
  </si>
  <si>
    <t xml:space="preserve"> DSI</t>
  </si>
  <si>
    <t>CO</t>
  </si>
  <si>
    <t>https://beta.regulations.gov/docket/EPA-R08-OAR-2011-0770/document</t>
  </si>
  <si>
    <t>Hayden Station</t>
  </si>
  <si>
    <t>Hayden Unit 1  (NOx)</t>
  </si>
  <si>
    <t>Dry bottom coal front-fired - 190 MW</t>
  </si>
  <si>
    <t>SCR</t>
  </si>
  <si>
    <t>Drake Plant</t>
  </si>
  <si>
    <t>Drake Unit 7  (NOx)</t>
  </si>
  <si>
    <t>Dry-bottom, Front-fired coal and  natural gas - 142 MW</t>
  </si>
  <si>
    <t>Ultra Low Nox Burners</t>
  </si>
  <si>
    <t>EGU Coal and Gas Boiler</t>
  </si>
  <si>
    <t>Colorado Energy Nations</t>
  </si>
  <si>
    <t>CENC (TriGen) Unit 5 (NOx)</t>
  </si>
  <si>
    <t>Dry bottom coal tengentially-fired -  65 MW</t>
  </si>
  <si>
    <t>LNB w/SOFA and SNCR</t>
  </si>
  <si>
    <t>Drake Unit 6 (SO2)</t>
  </si>
  <si>
    <t>Dry-bottom, Front-fired coal and  natural gas -85 MW</t>
  </si>
  <si>
    <t>FGD</t>
  </si>
  <si>
    <t>Drake Unit 7  (SO2)</t>
  </si>
  <si>
    <t>FDG</t>
  </si>
  <si>
    <t>Hayden - Unit 1 (SO2)</t>
  </si>
  <si>
    <t>Tighten Emission Limit to 0.13</t>
  </si>
  <si>
    <t>KS</t>
  </si>
  <si>
    <t>https://www.federalregister.gov/documents/2011/12/27/2011-32998/approval-and-promulgation-of-implementation-plans-state-of-kansas-regional-haze</t>
  </si>
  <si>
    <t xml:space="preserve">Westar Gordon Evans </t>
  </si>
  <si>
    <t>136 megawatt fuel-oil wall-fired boiler</t>
  </si>
  <si>
    <t>natural gas only</t>
  </si>
  <si>
    <t>RP</t>
  </si>
  <si>
    <t xml:space="preserve">Westar - Lawrence </t>
  </si>
  <si>
    <t>Unit 3</t>
  </si>
  <si>
    <t>49 megawatt tangential coal-fired boiler</t>
  </si>
  <si>
    <t>0.18 lb/MMBTU NOx</t>
  </si>
  <si>
    <t>114 megawatt tangential coal-fired boiler</t>
  </si>
  <si>
    <t>Westar Tecumsah</t>
  </si>
  <si>
    <t>7/9</t>
  </si>
  <si>
    <t>82 megawatt tangential coal-fired boiler</t>
  </si>
  <si>
    <t>8/10</t>
  </si>
  <si>
    <t>150 megawatt tangential coal-fired boiler</t>
  </si>
  <si>
    <t>ND</t>
  </si>
  <si>
    <t>https://www.federalregister.gov/documents/2012/04/06/2012-6586/approval-and-promulgation-of-implementation-plans-north-dakota-regional-haze-state-implementation</t>
  </si>
  <si>
    <t>Stanton Station</t>
  </si>
  <si>
    <t>188 MW dry bottom front-wall-fired configuration and is permitted to burn both lignite and sub-bituminous Powder River Basin (PRB) coal</t>
  </si>
  <si>
    <t>spray dryer with fabric filter</t>
  </si>
  <si>
    <t xml:space="preserve"> LNB + OFA + SNCR</t>
  </si>
  <si>
    <t>NV</t>
  </si>
  <si>
    <t>https://www.federalregister.gov/documents/2012/08/23/2012-20503/approval-and-promulgation-of-air-quality-implementation-plans-nevada-regional-haze-state-and-federal</t>
  </si>
  <si>
    <t>Fort Churchill</t>
  </si>
  <si>
    <t>113 MW front wall-fired nat gas steam boilers to drive turbine generators</t>
  </si>
  <si>
    <t>LNB with FGR</t>
  </si>
  <si>
    <t>EGU Natural-Gas Fired Boiler</t>
  </si>
  <si>
    <t>113 MW nat gas steam boilers to drive turbine generators</t>
  </si>
  <si>
    <t>Tracy</t>
  </si>
  <si>
    <t>55 MW nat-gas</t>
  </si>
  <si>
    <t>83 MW nat-gas</t>
  </si>
  <si>
    <t>113 MW front wall-fired nat gas</t>
  </si>
  <si>
    <t>LNB with SNCR</t>
  </si>
  <si>
    <t>Reid Gardner</t>
  </si>
  <si>
    <t>100 MW wall-fired coal-fired boiler</t>
  </si>
  <si>
    <t>SNCR+LNB+OFA</t>
  </si>
  <si>
    <t>FIP; did not see non-EGU sources</t>
  </si>
  <si>
    <t>FIP</t>
  </si>
  <si>
    <t>OK</t>
  </si>
  <si>
    <t>https://www.federalregister.gov/documents/2011/12/28/2011-32572/approval-and-promulgation-of-implementation-plans-oklahoma-federal-implementation-plan-for</t>
  </si>
  <si>
    <t>AEP/PSO Comanche</t>
  </si>
  <si>
    <t>94 MW gas-fired turbine</t>
  </si>
  <si>
    <t>dry LNB</t>
  </si>
  <si>
    <t>WY</t>
  </si>
  <si>
    <t>https://www.govinfo.gov/content/pkg/FR-2014-01-30/pdf/2014-00930.pdf</t>
  </si>
  <si>
    <t>PacifiCorp
Naughton</t>
  </si>
  <si>
    <t>Tangentially-fired 160 megawatt coal-fired boiler</t>
  </si>
  <si>
    <t>LNBs/OFA</t>
  </si>
  <si>
    <t>Flint Creek</t>
  </si>
  <si>
    <t xml:space="preserve">558 megawatt dry bottom wall-fired coal-fired boiler </t>
  </si>
  <si>
    <t>Dry flue gas desulfurization</t>
  </si>
  <si>
    <t>EGU BOILER &gt;500MW</t>
  </si>
  <si>
    <t>Independence</t>
  </si>
  <si>
    <t>Tangentially-Fired 880 MW Coal-Fired Boiler</t>
  </si>
  <si>
    <t>low sulfur coal</t>
  </si>
  <si>
    <t>White Bluff</t>
  </si>
  <si>
    <t>Units 1 and 2</t>
  </si>
  <si>
    <t>Westar Jeffery</t>
  </si>
  <si>
    <t>720 megawatt coal-fired tangential boiler</t>
  </si>
  <si>
    <t>0.15 lb/MMBTU</t>
  </si>
  <si>
    <t xml:space="preserve">Westar Jeffery </t>
  </si>
  <si>
    <t>Westar Energy Jeffery</t>
  </si>
  <si>
    <t>720 megawatt tangential coal-fired boiler</t>
  </si>
  <si>
    <t>low NOx burners</t>
  </si>
  <si>
    <t>Note, NOx only for Cost-effectiveness calculations. Relied upon BART presumptive costs 400 - 2000 for SO2 rather than quantifying for these units</t>
  </si>
  <si>
    <t>KY</t>
  </si>
  <si>
    <t>https://www.federalregister.gov/articles/2012/03/30/2012-7575/approval-and-promulgation-of-implementation-plans-commonwealth-of-kentucky-regional-haze-state</t>
  </si>
  <si>
    <t>Mill Creek</t>
  </si>
  <si>
    <t>unit 4</t>
  </si>
  <si>
    <t>543.6 megawatt wall-fired coal boiler</t>
  </si>
  <si>
    <t>sorbent injection</t>
  </si>
  <si>
    <t>LA</t>
  </si>
  <si>
    <t>https://www.regulations.gov/document?D=EPA-R06-OAR-2016-0520-0008</t>
  </si>
  <si>
    <t>Nelson</t>
  </si>
  <si>
    <t>Unit 6</t>
  </si>
  <si>
    <t>614 megawatt coal-fired boiler</t>
  </si>
  <si>
    <t>Milton R. Young Station</t>
  </si>
  <si>
    <t>517 MW Babcock &amp; Wilcox cyclone boilers burning lignite coal</t>
  </si>
  <si>
    <t>Upgrade Existing Scrubber (SO2, 95% control eff.)</t>
  </si>
  <si>
    <t>Coal Creek Station</t>
  </si>
  <si>
    <t>550 MW Combustion Engineering boilers that tangentially fire pulverized lignite coal</t>
  </si>
  <si>
    <t>upgrade wet scrubber (SO2) + coal dryer</t>
  </si>
  <si>
    <t xml:space="preserve">upgrade wet scrubber (SO2) + coal dryer; </t>
  </si>
  <si>
    <t>SNCR + ASOFA</t>
  </si>
  <si>
    <t>NE</t>
  </si>
  <si>
    <t>https://www.federalregister.gov/documents/2012/03/02/2012-4991/approval-disapproval-and-promulgation-of-implementation-plans-nebraska-regional-haze-state</t>
  </si>
  <si>
    <t xml:space="preserve">OPPD NEBRASKA CITY STATION </t>
  </si>
  <si>
    <t>652 MW wall-fired coal-fired boiler</t>
  </si>
  <si>
    <t>LNB (with existing OFA)</t>
  </si>
  <si>
    <t>NPPD GERALD GENTLEMAN STATION</t>
  </si>
  <si>
    <t>681 MW wall-fired coal-fired boiler</t>
  </si>
  <si>
    <t>LNB+OFA</t>
  </si>
  <si>
    <t>Mohave</t>
  </si>
  <si>
    <t>790 MW pulverized coal-fueled, tangentially fired boilers</t>
  </si>
  <si>
    <t>OG&amp;E Seminole</t>
  </si>
  <si>
    <t>567 MW, dry wall-fired gas-fired boiler</t>
  </si>
  <si>
    <t>LNB with OFA and FGR</t>
  </si>
  <si>
    <t>https://www.federalregister.gov/documents/2011/03/22/2011-5799/approval-and-promulgation-of-implementation-plans-oklahoma-regional-haze-state-implementation-plan</t>
  </si>
  <si>
    <t>OG&amp;E Sooner</t>
  </si>
  <si>
    <t>570 MW, tangentially-fired coal-fired</t>
  </si>
  <si>
    <t>LNB with OFA</t>
  </si>
  <si>
    <t>dry scrubber install</t>
  </si>
  <si>
    <t>OG&amp;E Muskogee</t>
  </si>
  <si>
    <t>572 MW, tangentially-fired coal-fired</t>
  </si>
  <si>
    <t>TX</t>
  </si>
  <si>
    <t>https://www.federalregister.gov/documents/2016/01/05/2015-31904/approval-and-promulgation-of-implementation-plans-texas-and-oklahoma-regional-haze-state</t>
  </si>
  <si>
    <t>Sandow</t>
  </si>
  <si>
    <t>600 MW Coal-fired</t>
  </si>
  <si>
    <t>Scrubber upgrades=upgraded to perform at a 95% control level</t>
  </si>
  <si>
    <t>Because those calculations depended on information claimed by the companies as CBI we cannot present it here, except to note that in all cases, the cost effectiveness was less than $600/ton.</t>
  </si>
  <si>
    <t>Martin Lake</t>
  </si>
  <si>
    <t>750 MW Coal-fired boiler</t>
  </si>
  <si>
    <t>Because those calculations depended on information claimed by the companies as CBI we cannot present it here, except to note that in all cases, the cost effectiveness was less than $600/ton.   FACILITY  INFO WAS NOT AVAILABLE in docket that I could find; some found online through Google searches. need to check in eGRID data.</t>
  </si>
  <si>
    <t>Monticello</t>
  </si>
  <si>
    <t>coal-fired</t>
  </si>
  <si>
    <t>Limestone</t>
  </si>
  <si>
    <t>Big Brown</t>
  </si>
  <si>
    <t>tangentially-fired coal-fired boiler 572.9 MW</t>
  </si>
  <si>
    <t xml:space="preserve">Wet FGD retrofit; </t>
  </si>
  <si>
    <t>tangentially-fired coal-fired boiler 562.9</t>
  </si>
  <si>
    <t>Wet FGD retrofit;</t>
  </si>
  <si>
    <t>Coleto Creek</t>
  </si>
  <si>
    <t>tangentially-fired coal-fired boiler 629.5 MW</t>
  </si>
  <si>
    <t>Tolk</t>
  </si>
  <si>
    <t>172B</t>
  </si>
  <si>
    <t>tangentially-fired coal-fired boiler 542.9 MW</t>
  </si>
  <si>
    <t>install SDA dry scrubbers</t>
  </si>
  <si>
    <t>171B</t>
  </si>
  <si>
    <t>tangentially-fired coal-fired boiler 533 MW</t>
  </si>
  <si>
    <t>WA</t>
  </si>
  <si>
    <t>https://www.federalregister.gov/documents/2012/05/23/2012-12504/approval-and-promulgation-of-implementation-plans-state-of-washington-regional-haze-state</t>
  </si>
  <si>
    <t>TransAlta Centralia Generation, LLC</t>
  </si>
  <si>
    <t>Unit A</t>
  </si>
  <si>
    <t>tangentially-fired wet bottom 700 MW coal-fired boiler (now 670 MW)</t>
  </si>
  <si>
    <t>new SNCR and the use of a sub-bituminous PRB coal</t>
  </si>
  <si>
    <t>Flex Fuels Project is $3,563/ton of NOx reduced. Since
the Flex Fuels Project also reduces SO2 emissions by an estimated 1,287 tons/year, the cost
effectiveness of the Flex Fuels Project is $2,526/ton of NOx plus SO2 reduced. One unit must cease burning coal by December 31, 2020, and the other coal unit cease burning coal by December 31, 2025 (state agreement)</t>
  </si>
  <si>
    <t>Unit B</t>
  </si>
  <si>
    <t>Basin Electric Power Cooperative Laramie River Station</t>
  </si>
  <si>
    <t>550 MW dry bottom, wall-fired pulverized coal-fired boiler</t>
  </si>
  <si>
    <t>LNBs/OFA and SCR</t>
  </si>
  <si>
    <t>LNBs with OFA and SCR</t>
  </si>
  <si>
    <t>Jim Bridger</t>
  </si>
  <si>
    <t>Tangentially-fired 530 megawatt coal-fired boiler</t>
  </si>
  <si>
    <t>Leland Olds Station</t>
  </si>
  <si>
    <t>216 MW Babcock &amp; Wilcox wall-fired, dry-bottom, pulverized coal-fired boiler</t>
  </si>
  <si>
    <t>Wet Scrubber (SO2)</t>
  </si>
  <si>
    <t>EGU BOILER 200 - 500 MW</t>
  </si>
  <si>
    <t>SNCR + basic SOFA</t>
  </si>
  <si>
    <t>Tangentially-fired 210 megawatt coal-fired boiler</t>
  </si>
  <si>
    <t>PacifiCorp Dave Johnston</t>
  </si>
  <si>
    <t>230 MW pulverized coal-fired boiler, cell configuration burners</t>
  </si>
  <si>
    <t>low-NOX burners (LNBs) with overfire air (OFA) and shut down in 2027</t>
  </si>
  <si>
    <t>https://www.federalregister.gov/documents/2014/01/30/2014-00930/approval-disapproval-and-promulgation-of-implementation-plans-state-of-wyoming-regional-haze-state#h-25</t>
  </si>
  <si>
    <t>new LNBs with OFA and SCR</t>
  </si>
  <si>
    <t>https://www.regulations.gov/docket?D=EPA-R09-OAR-2012-0906</t>
  </si>
  <si>
    <t>Cholla Power Plant</t>
  </si>
  <si>
    <t>Tangentially-fired - 288.9 MW</t>
  </si>
  <si>
    <t>https://www.regulations.gov/docket?D=EPA-R09-OAR-2012-0907</t>
  </si>
  <si>
    <t>Tangentially-fired - 312.3 MW</t>
  </si>
  <si>
    <t>https://www.regulations.gov/docket?D=EPA-R09-OAR-2012-0908</t>
  </si>
  <si>
    <t>Tangentially-fired - 414 MW</t>
  </si>
  <si>
    <t>https://www.regulations.gov/docket?D=EPA-R09-OAR-2012-0909</t>
  </si>
  <si>
    <t>Coronado Generating Station</t>
  </si>
  <si>
    <t>Riley TURBO wall-fired boiler - 410.9 MW</t>
  </si>
  <si>
    <t>https://www.regulations.gov/docket?D=EPA-R09-OAR-2012-0910</t>
  </si>
  <si>
    <t>Riley TURBO wall-fired boiler -410.9 MW</t>
  </si>
  <si>
    <t>SCR +LNB + OFA withLow load temperature control system</t>
  </si>
  <si>
    <t>Hayden Unit 2  (NOx)</t>
  </si>
  <si>
    <t>Dry bottom coal tengentially-fired 275.4 MW</t>
  </si>
  <si>
    <t>Craig</t>
  </si>
  <si>
    <t>Craig Unit 1 -  (NOx)</t>
  </si>
  <si>
    <t>Wall-fired coal 446.4 MW</t>
  </si>
  <si>
    <t>Craig Unit 2  (NOx)</t>
  </si>
  <si>
    <t>Hayden - Unit 2 (SO2)</t>
  </si>
  <si>
    <t>Tighten Emission Limit to 0.14</t>
  </si>
  <si>
    <t>unit 3</t>
  </si>
  <si>
    <t>462.6 megawatt wall-fired coal boiler</t>
  </si>
  <si>
    <t>440 MW Babcock &amp; Wilcox cyclone-fired unit burning crushed coal</t>
  </si>
  <si>
    <t>SOFA and SNCR</t>
  </si>
  <si>
    <t>277 MW Babcock &amp; Wilcox cyclone boilers burning lignite coal</t>
  </si>
  <si>
    <t>SNCR + ASOFA (Nox)</t>
  </si>
  <si>
    <t>Antelope Valley Station</t>
  </si>
  <si>
    <t>435 MW tangentially-fired coal-fired boiler</t>
  </si>
  <si>
    <t>LNB + SOFA</t>
  </si>
  <si>
    <t>Coyote Station</t>
  </si>
  <si>
    <t>Main</t>
  </si>
  <si>
    <t>450 MW cyclone coal-fired boiler</t>
  </si>
  <si>
    <t>ASOFA</t>
  </si>
  <si>
    <t>NH</t>
  </si>
  <si>
    <t>https://www.federalregister.gov/documents/2012/08/22/2012-20271/approval-and-promulgation-of-air-quality-implementation-plans-new-hampshire-regional-haze</t>
  </si>
  <si>
    <t>PSNH Merrimack Station</t>
  </si>
  <si>
    <t>MK2</t>
  </si>
  <si>
    <t>320 MW cyclone coal-fired EGU</t>
  </si>
  <si>
    <t>State law required FGD for Hg removal (not fed requirement)</t>
  </si>
  <si>
    <t>AEP/PSO Northeastern</t>
  </si>
  <si>
    <t>495 MW gas-fired boiler</t>
  </si>
  <si>
    <t>AEP/PSO Southwestern</t>
  </si>
  <si>
    <t>332 MW gas-fired boiler</t>
  </si>
  <si>
    <t>490 MW tangentially-fired coal-fired</t>
  </si>
  <si>
    <t>SD</t>
  </si>
  <si>
    <t>https://www.federalregister.gov/documents/2012/04/26/2012-8988/approval-and-promulgation-of-implementation-plans-south-dakota-regional-haze-state-implementation</t>
  </si>
  <si>
    <t>Otter Tail Power Company, Big Stone I (Unit 1)</t>
  </si>
  <si>
    <t>#1 Babcock boiler</t>
  </si>
  <si>
    <t>474 MW, coal-fired boiler</t>
  </si>
  <si>
    <t>SOFA + SCR</t>
  </si>
  <si>
    <t>UT</t>
  </si>
  <si>
    <t>https://www.regulations.gov/contentStreamer?documentId=EPA-R08-OAR-2015-0463-0182&amp;contentType=pdf</t>
  </si>
  <si>
    <t xml:space="preserve">PacifiCorp Hunter </t>
  </si>
  <si>
    <t>Tangentially-fired 430MW coal-fired boiler</t>
  </si>
  <si>
    <t>LNB and SOFA with SCR</t>
  </si>
  <si>
    <t>PacifiCorp Huntington</t>
  </si>
  <si>
    <t>Tangentially-fired 330 MW pulverized coal-fired boiler</t>
  </si>
  <si>
    <t>PacifiCorp Wyodak</t>
  </si>
  <si>
    <t>335 megawatt dry bottom wall-fired coal-fired boiler</t>
  </si>
  <si>
    <t>LNBs/OFA with SCR</t>
  </si>
  <si>
    <t>MN</t>
  </si>
  <si>
    <t>https://www.federalregister.gov/documents/2013/02/06/2013-01473/approval-and-promulgation-of-air-quality-implementation-plans-states-of-minnesota-and-michigan</t>
  </si>
  <si>
    <t>Northshore Mining</t>
  </si>
  <si>
    <t>Iron Ore Mining</t>
  </si>
  <si>
    <t>Process boiler, 79 MMBtu/hr</t>
  </si>
  <si>
    <t>Low NOX burners</t>
  </si>
  <si>
    <t>Industrial Process Boiler Natural Gas</t>
  </si>
  <si>
    <t>MMBtu/hr</t>
  </si>
  <si>
    <t xml:space="preserve">FIP--NOTE, from the State at time of this analysis: those controls and supporting analyses were evaluated as part of a FIP. This FIP is still working through revisions (EPA and the taconite companies are in the middle of settlement discussions), so EPA may have better information. </t>
  </si>
  <si>
    <t>INDUSTRIAL BOILER &lt; 100 MMBtu/hr</t>
  </si>
  <si>
    <t>ID</t>
  </si>
  <si>
    <t>https://www.federalregister.gov/articles/2011/06/22/2011-15452/approval-and-promulgation-of-implementation-plans-state-of-idaho-regional-haze-state-implementation</t>
  </si>
  <si>
    <t>TASCO-NAMPA Sugar company</t>
  </si>
  <si>
    <t>Beet Sugar Manufacturing</t>
  </si>
  <si>
    <t>Riley boiler</t>
  </si>
  <si>
    <t>350 million BTU per hour, coal-fired boiler</t>
  </si>
  <si>
    <t>spray dry FGD</t>
  </si>
  <si>
    <t>Industrial Coal-Fired Boiler</t>
  </si>
  <si>
    <t>Control Tech approved by EPA in 2012, but State had to revise SIP once on-the-ground inspection revealed the techs were not feasible b/c of plant and unit layout. Subsequent SIP revision established new permit limits to provide the same benefits.</t>
  </si>
  <si>
    <t>LNB/OFA</t>
  </si>
  <si>
    <t>AL</t>
  </si>
  <si>
    <t>https://www.regulations.gov/document?D=EPA-R04-OAR-2009-0782-0016</t>
  </si>
  <si>
    <t>International Paper Co- Courtland Mill</t>
  </si>
  <si>
    <t>Kraft pulp and paper mill</t>
  </si>
  <si>
    <t>X015</t>
  </si>
  <si>
    <t>#2 Combination boiler</t>
  </si>
  <si>
    <t>Low Nox burners</t>
  </si>
  <si>
    <t>Industrial Power Boiler Coal, Wood , and gas</t>
  </si>
  <si>
    <t>GA</t>
  </si>
  <si>
    <t>https://www.federalregister.gov/articles/2012/06/28/2012-15691/approval-and-promulgation-of-implementation-plans-state-of-georgia-regional-haze-state</t>
  </si>
  <si>
    <t>GP Brunswick Cellulose</t>
  </si>
  <si>
    <t>Fuel-oil and wood waste power boiler</t>
  </si>
  <si>
    <t>1% sulfur fuel oil</t>
  </si>
  <si>
    <t xml:space="preserve">Industrial Power Boiler Fuel Oil and Wood Waste </t>
  </si>
  <si>
    <t>GP Brunswick Cedar Springs</t>
  </si>
  <si>
    <t>Power Boiler No. 1 (U 500)</t>
  </si>
  <si>
    <t>784 MMBtu/hr boiler that burns coal, wood waste, and fuel oil</t>
  </si>
  <si>
    <t>70% reduction based on duct sorbent injection</t>
  </si>
  <si>
    <t xml:space="preserve">Industrial Power Boiler Coal, Wood Waste, and Fuel Oil </t>
  </si>
  <si>
    <t>Power Boiler No. 2 (U 501)</t>
  </si>
  <si>
    <t>Industrial Power Boiler Coal, Wood Waste, and Fuel Oil</t>
  </si>
  <si>
    <t>Interstate Paper</t>
  </si>
  <si>
    <t>Power Boiler (F1)</t>
  </si>
  <si>
    <t>power boiler that combusts gas and TRS containing waste streams</t>
  </si>
  <si>
    <t>combustion of natural gas except during periods of curtailment</t>
  </si>
  <si>
    <t xml:space="preserve">Industrial Power Boiler Natural Gas and Waste </t>
  </si>
  <si>
    <t>ME</t>
  </si>
  <si>
    <t>https://www.regulations.gov/document?D=EPA-R01-OAR-2010-1043-0003</t>
  </si>
  <si>
    <t>Verso Androscoggin</t>
  </si>
  <si>
    <t xml:space="preserve">Power Boiler #1 </t>
  </si>
  <si>
    <t>fuel-oil fired boilers</t>
  </si>
  <si>
    <t>low sulfur fuel &lt; 0.7 % sulfur</t>
  </si>
  <si>
    <t xml:space="preserve">Industrial Power Boiler Fuel-Oil Fired </t>
  </si>
  <si>
    <t>Year based on FLM excel spreadsheets listing 2007 for evaluation of a different control at the same source</t>
  </si>
  <si>
    <t>Power Boilers # 2</t>
  </si>
  <si>
    <t>Solutia, Inc</t>
  </si>
  <si>
    <t>Chemical Manufacturer</t>
  </si>
  <si>
    <t>005</t>
  </si>
  <si>
    <t>Boiler #5- 290 MMBTU/hr w/ESP</t>
  </si>
  <si>
    <t>Low sulfur coal</t>
  </si>
  <si>
    <t>Industrial Power Boiler</t>
  </si>
  <si>
    <t>006</t>
  </si>
  <si>
    <t>Boiler #6- 320 MMBTU/hr w/ESP</t>
  </si>
  <si>
    <t>Boiler #7- 536 MMBTU/hr w/ESP</t>
  </si>
  <si>
    <t>rotating opposed fired air system/furnace sorben injection</t>
  </si>
  <si>
    <t>WI</t>
  </si>
  <si>
    <t>https://www.govinfo.gov/content/pkg/FR-2012-08-07/pdf/2012-19137.pdf</t>
  </si>
  <si>
    <t>Georgia-Pacific</t>
  </si>
  <si>
    <t>S10</t>
  </si>
  <si>
    <t>76.3MW coal-fired boiler, 50 MW coal-fired boiler with same stack</t>
  </si>
  <si>
    <t>dry circulating fluidized bed FGD</t>
  </si>
  <si>
    <t>Industrial Power Boiler - Coal</t>
  </si>
  <si>
    <t>https://dnr.wi.gov/topic/AirQuality/documents/HazeSIPBARTAttachment4.pdf</t>
  </si>
  <si>
    <t>INDUSTRIAL BOILER 100 - 250 MMBtu/hr</t>
  </si>
  <si>
    <t>76.3MW coal-fired boiler, 50 MW coal-fired boiler</t>
  </si>
  <si>
    <t>OFA/Flue Gas Recirculation (FGR)/SNCR</t>
  </si>
  <si>
    <t>Monsanto/P4 Production </t>
  </si>
  <si>
    <t>Other Basic Inorganic Chemical Manufacturing (Phosphorus)</t>
  </si>
  <si>
    <t>#5 Rotary Kiln</t>
  </si>
  <si>
    <t>wet-FGD with lime</t>
  </si>
  <si>
    <t>Kiln</t>
  </si>
  <si>
    <t>KILN</t>
  </si>
  <si>
    <t>https://www.regulations.gov/docket?D=EPA-R09-OAR-2013-0589</t>
  </si>
  <si>
    <t>Phoenix Cement Company Clarkdale Plant</t>
  </si>
  <si>
    <t>Cement Manufacturing</t>
  </si>
  <si>
    <t>Kiln 4</t>
  </si>
  <si>
    <t>Precalciner</t>
  </si>
  <si>
    <t>https://www.regulations.gov/docket?D=EPA-R09-OAR-2013-0588</t>
  </si>
  <si>
    <t>Calpoertland Cement</t>
  </si>
  <si>
    <t>Rillito Kiln 4</t>
  </si>
  <si>
    <t>CEMEX Lyons</t>
  </si>
  <si>
    <t>Cement manufacturing</t>
  </si>
  <si>
    <t>CEMEX - Kiln (NOx)</t>
  </si>
  <si>
    <t>Dragon Products</t>
  </si>
  <si>
    <t>lime kiln</t>
  </si>
  <si>
    <t>single dry process rotary kiln</t>
  </si>
  <si>
    <t>additional sncr reagent</t>
  </si>
  <si>
    <t>Cost in spreadsheet based on SIP cost estimate. Dragon suggested that cost effectiveness would be ~300/ton more than Maine DEP reported</t>
  </si>
  <si>
    <t>MI</t>
  </si>
  <si>
    <t>https://www.federalregister.gov/articles/2012/12/03/2012-29014/approval-and-promulgation-of-air-quality-implementation-plans-michigan-regional-haze-state</t>
  </si>
  <si>
    <t>St. Mary's Cement</t>
  </si>
  <si>
    <t>cement kiln; indirect firing system; kiln system includes a pre-heater and pre-calciner</t>
  </si>
  <si>
    <t xml:space="preserve">The five non-EGU BART-eligible sources include two Portland cement plants, one taconite plant, and two paper products plants. Table 9.2.d of Michigan's regional haze plan includes a summary of the BART analysis submitted by the sources and Michigan's evaluation of potential BART options and proposed BART control strategies. More detailed information of BART controls and analysis submitted by the sources can be found in appendices 9C through 9J of Michigan's plan.    </t>
  </si>
  <si>
    <t>MT</t>
  </si>
  <si>
    <t>https://www.federalregister.gov/documents/2012/04/20/2012-8367/approval-and-promulgation-of-implementation-plans-state-of-montana-state-implementation-plan-and</t>
  </si>
  <si>
    <t>Ash Grove Cement</t>
  </si>
  <si>
    <t>long wet kiln</t>
  </si>
  <si>
    <t>coal and petroleum coke</t>
  </si>
  <si>
    <t>LNB + SNCR</t>
  </si>
  <si>
    <t>Holcim (US) Inc. Trident cement plant</t>
  </si>
  <si>
    <t>no info found</t>
  </si>
  <si>
    <t>https://www.regulations.gov/docket?D=EPA-R09-OAR-2013-0591</t>
  </si>
  <si>
    <t>Lhoist North America Nelson Lime Plant</t>
  </si>
  <si>
    <t>Lime Manufacturing</t>
  </si>
  <si>
    <t>Kiln 1 (SO2)</t>
  </si>
  <si>
    <t>SNCR + Low sulfur fuel</t>
  </si>
  <si>
    <t>https://www.regulations.gov/docket?D=EPA-R09-OAR-2013-0592</t>
  </si>
  <si>
    <t>Kiln 2 (NOx)</t>
  </si>
  <si>
    <t>https://www.regulations.gov/docket?D=EPA-R09-OAR-2013-0593</t>
  </si>
  <si>
    <t>https://www.regulations.gov/docket?D=EPA-R09-OAR-2013-0594</t>
  </si>
  <si>
    <t>ASARCO Inc. Hayden Smelter</t>
  </si>
  <si>
    <t>Nonferrous Metal (except Aluminum) Smelting and Refining</t>
  </si>
  <si>
    <t>Copper Smelter</t>
  </si>
  <si>
    <t>Amine Scrubber</t>
  </si>
  <si>
    <t>Smelter</t>
  </si>
  <si>
    <t>SMELTER</t>
  </si>
  <si>
    <t>Freeport-McMoRan Miami Smelter</t>
  </si>
  <si>
    <t>Improve primary and new secondary capture systems, additional controls as needed</t>
  </si>
  <si>
    <t>Year (n)</t>
  </si>
  <si>
    <t>CEPCI Index Value</t>
  </si>
  <si>
    <r>
      <t>Cost Index Ratio (Value</t>
    </r>
    <r>
      <rPr>
        <vertAlign val="subscript"/>
        <sz val="11"/>
        <color theme="1"/>
        <rFont val="Calibri"/>
        <family val="2"/>
        <scheme val="minor"/>
      </rPr>
      <t>2019</t>
    </r>
    <r>
      <rPr>
        <sz val="11"/>
        <color theme="1"/>
        <rFont val="Calibri"/>
        <family val="2"/>
        <scheme val="minor"/>
      </rPr>
      <t>/Value</t>
    </r>
    <r>
      <rPr>
        <vertAlign val="subscript"/>
        <sz val="11"/>
        <color theme="1"/>
        <rFont val="Calibri"/>
        <family val="2"/>
        <scheme val="minor"/>
      </rPr>
      <t>n</t>
    </r>
    <r>
      <rPr>
        <sz val="11"/>
        <color theme="1"/>
        <rFont val="Calibri"/>
        <family val="2"/>
        <scheme val="minor"/>
      </rPr>
      <t>)</t>
    </r>
  </si>
  <si>
    <t>Descriptive Statistics of PP1 Costs by Equipment Type</t>
  </si>
  <si>
    <t>Cost-Effectiveness in $2020 ($/ton)</t>
  </si>
  <si>
    <t>Equipment Type</t>
  </si>
  <si>
    <t>Capacity</t>
  </si>
  <si>
    <t>MIN</t>
  </si>
  <si>
    <t>MAX</t>
  </si>
  <si>
    <t>MEAN</t>
  </si>
  <si>
    <t>STDEV</t>
  </si>
  <si>
    <t>STD ERROR</t>
  </si>
  <si>
    <t>Mean+2STDEV</t>
  </si>
  <si>
    <t>Median</t>
  </si>
  <si>
    <t>Observations</t>
  </si>
  <si>
    <t>Observations &lt; Mean + 2 STDEV</t>
  </si>
  <si>
    <t>% of observations captured with Mean +2 Stdev Threshold</t>
  </si>
  <si>
    <t>98th Percentile Value</t>
  </si>
  <si>
    <t>EGU Boiler</t>
  </si>
  <si>
    <t>&lt;200 MW</t>
  </si>
  <si>
    <t>200 - 500 MW</t>
  </si>
  <si>
    <t>&gt;500 MW</t>
  </si>
  <si>
    <t>Any</t>
  </si>
  <si>
    <t>Industrial Boiler</t>
  </si>
  <si>
    <t>&lt;100 MMBtu/hr</t>
  </si>
  <si>
    <t>100 - 250 MMBtu/hr</t>
  </si>
  <si>
    <t>&gt;250 MMBtu/hr</t>
  </si>
  <si>
    <t>All</t>
  </si>
  <si>
    <t>Potential Emissions with no control</t>
  </si>
  <si>
    <t>SO2</t>
  </si>
  <si>
    <t>Alcoa</t>
  </si>
  <si>
    <t>Yes</t>
  </si>
  <si>
    <t>3.0% Sulfur Coke</t>
  </si>
  <si>
    <t>No</t>
  </si>
  <si>
    <t>3.0% Sulfur Coke with Anode Bake Furnace Wet Scrubber</t>
  </si>
  <si>
    <t>3.5% Sulfur Coke with Potlines Wet Scrubber</t>
  </si>
  <si>
    <t>Selected as BART?</t>
  </si>
  <si>
    <t>Incremental Cost Effectiveness ($/ton pollutant removed)</t>
  </si>
  <si>
    <r>
      <t>SO</t>
    </r>
    <r>
      <rPr>
        <b/>
        <vertAlign val="subscript"/>
        <sz val="10"/>
        <color theme="1"/>
        <rFont val="Open Sans"/>
        <family val="2"/>
      </rPr>
      <t>2</t>
    </r>
    <r>
      <rPr>
        <b/>
        <sz val="10"/>
        <color theme="1"/>
        <rFont val="Open Sans"/>
        <family val="2"/>
      </rPr>
      <t xml:space="preserve"> Reduction (tons/year)</t>
    </r>
  </si>
  <si>
    <r>
      <t>SO</t>
    </r>
    <r>
      <rPr>
        <b/>
        <vertAlign val="subscript"/>
        <sz val="10"/>
        <color theme="1"/>
        <rFont val="Open Sans"/>
        <family val="2"/>
      </rPr>
      <t>2</t>
    </r>
    <r>
      <rPr>
        <b/>
        <sz val="10"/>
        <color theme="1"/>
        <rFont val="Open Sans"/>
        <family val="2"/>
      </rPr>
      <t xml:space="preserve"> Emissions (tons/year)</t>
    </r>
  </si>
  <si>
    <t>BART Option</t>
  </si>
  <si>
    <t>Pollutant</t>
  </si>
  <si>
    <t>Facility</t>
  </si>
  <si>
    <t>$3,533 vs SDA/ESP or $12,775 (vs. SDA/ESP-FF Conversion)</t>
  </si>
  <si>
    <t>$7.7 M</t>
  </si>
  <si>
    <t>$185.8 M</t>
  </si>
  <si>
    <t>Low-sulfur fuel oil</t>
  </si>
  <si>
    <t>$857 (vs. SDA/ESP)</t>
  </si>
  <si>
    <t>$106.8 M</t>
  </si>
  <si>
    <t>Dual alkali</t>
  </si>
  <si>
    <t>$410 vs. SDA/ESP</t>
  </si>
  <si>
    <t>$8.1 M</t>
  </si>
  <si>
    <t>Caustic scrubbers</t>
  </si>
  <si>
    <t>$2,185 (vs. SDA/ESP)</t>
  </si>
  <si>
    <t>$7.9 M</t>
  </si>
  <si>
    <t>$139.1 M</t>
  </si>
  <si>
    <t>SDA/ESP-FF Conversion</t>
  </si>
  <si>
    <t>--</t>
  </si>
  <si>
    <t>$6.1 M</t>
  </si>
  <si>
    <t>$97.8 M</t>
  </si>
  <si>
    <t>SDA/ESP</t>
  </si>
  <si>
    <t>Incremental Cost-Effectiveness ($/ton)</t>
  </si>
  <si>
    <t>Cost-Effectiveness ($/ton)</t>
  </si>
  <si>
    <r>
      <t>Annual SO</t>
    </r>
    <r>
      <rPr>
        <b/>
        <vertAlign val="subscript"/>
        <sz val="10"/>
        <color theme="1"/>
        <rFont val="Open Sans"/>
        <family val="2"/>
      </rPr>
      <t>2</t>
    </r>
    <r>
      <rPr>
        <b/>
        <sz val="10"/>
        <color theme="1"/>
        <rFont val="Open Sans"/>
        <family val="2"/>
      </rPr>
      <t xml:space="preserve"> Reduced (tons)</t>
    </r>
  </si>
  <si>
    <t>Assumed  Control Efficiency</t>
  </si>
  <si>
    <t>Annual O/M Cost</t>
  </si>
  <si>
    <t>Capital Cost</t>
  </si>
  <si>
    <t>Technology</t>
  </si>
  <si>
    <t>TVA Cumberland agreed to a BART limit of 0.5 lb/MMBtu SO2, but there were no changes to existing controls</t>
  </si>
  <si>
    <t>DuPont Old Hickory accepted the limit shown below, but I don't have cost information.</t>
  </si>
  <si>
    <t>TN</t>
  </si>
  <si>
    <t>Eastman</t>
  </si>
  <si>
    <t>FL</t>
  </si>
  <si>
    <t>https://www.regulations.gov/docket?D=EPA-R04-OAR-2015-0337</t>
  </si>
  <si>
    <t>Florida Power &amp; Light Manatee Power Plant</t>
  </si>
  <si>
    <t>Fossil Fuel Generator</t>
  </si>
  <si>
    <t>0.7% S fuel oil</t>
  </si>
  <si>
    <t>Fossil fuel Steam Generator</t>
  </si>
  <si>
    <t>Gulf Power Company Lansing Smith</t>
  </si>
  <si>
    <t>Electric Power Distribution</t>
  </si>
  <si>
    <t>Dry-bottom boiler</t>
  </si>
  <si>
    <t>Dry Sorbent Injection and Columbian Coal</t>
  </si>
  <si>
    <t>Boiler</t>
  </si>
  <si>
    <t>Lakeland Electric C.D. McIntosh Jr. Power Plant</t>
  </si>
  <si>
    <t>McIntosh Unit 1 - Fossil Fuel Fired Steam Generator</t>
  </si>
  <si>
    <t>VA</t>
  </si>
  <si>
    <t>Meadwestvaco Packaging Resource Group (now WestRock)</t>
  </si>
  <si>
    <t>Paper (except Newsprint) Mills</t>
  </si>
  <si>
    <t>#6:  550 mmbtu/hr coal boiler; #7 440 mmbtu/hr coal/wood boiler; #8 580 mmbtu/hr coal/wood boiler; #9 807 mmbtu/hr coal boiler</t>
  </si>
  <si>
    <t>Units 6, 7, 8, and 9</t>
  </si>
  <si>
    <t>Improvements to existing FGD</t>
  </si>
  <si>
    <t>Boiler/Fossile fuel steam generator</t>
  </si>
  <si>
    <t>The four units exhaust a single stack controlled by FGD.  Improvements to the FGD constituted RP.  Costs were well under $800/ton removed.</t>
  </si>
  <si>
    <t>https://beta.regulations.gov/document/EPA-R03-OAR-2011-0584-0007</t>
  </si>
  <si>
    <t>O-N Minerals (Chemstone) Company</t>
  </si>
  <si>
    <t>U5</t>
  </si>
  <si>
    <t>Rotary chemical lime kiln</t>
  </si>
  <si>
    <t>tons lime/hr</t>
  </si>
  <si>
    <t>Chemical Lime Manufacturing</t>
  </si>
  <si>
    <t>Georgia Pacific Big Island</t>
  </si>
  <si>
    <t>PWR04</t>
  </si>
  <si>
    <t>PWR05</t>
  </si>
  <si>
    <t>Caustic scrubber, 90% control of SO2</t>
  </si>
  <si>
    <t>Pulverized coal boiler</t>
  </si>
  <si>
    <t>Multi-fuel (coal/wood/other) boiler</t>
  </si>
  <si>
    <t>No more than 10% coal</t>
  </si>
  <si>
    <t>No data</t>
  </si>
  <si>
    <t>Control was determined to be using no more than 10% coal.  Unit and facility has stopped burning coal.</t>
  </si>
  <si>
    <t>Unit retired.</t>
  </si>
  <si>
    <t>n/a</t>
  </si>
  <si>
    <t>Power Boiler No. 4 (F1)</t>
  </si>
  <si>
    <r>
      <t xml:space="preserve">addition of caustic at </t>
    </r>
    <r>
      <rPr>
        <sz val="12"/>
        <color rgb="FFFF0000"/>
        <rFont val="Times New Roman"/>
        <family val="1"/>
      </rPr>
      <t>$</t>
    </r>
    <r>
      <rPr>
        <sz val="12"/>
        <rFont val="Times New Roman"/>
        <family val="1"/>
      </rPr>
      <t xml:space="preserve">1675 </t>
    </r>
    <r>
      <rPr>
        <sz val="12"/>
        <color rgb="FFFF0000"/>
        <rFont val="Times New Roman"/>
        <family val="1"/>
      </rPr>
      <t>per ton SO2 reduced</t>
    </r>
    <r>
      <rPr>
        <sz val="12"/>
        <rFont val="Times New Roman"/>
        <family val="1"/>
      </rPr>
      <t xml:space="preserve"> also found to be reasonble</t>
    </r>
  </si>
  <si>
    <t>https://www.govinfo.gov/content/pkg/FR-2011-12-16/pdf/2011-32272.pdf</t>
  </si>
  <si>
    <t>TVA - Paradise</t>
  </si>
  <si>
    <t>704 megawatt wall-fired coal boiler</t>
  </si>
  <si>
    <t>lime injection controls</t>
  </si>
  <si>
    <t>1150 megawatt wall-fired coal boiler</t>
  </si>
  <si>
    <t>INDUSTRIAL BOILER &gt; 250 MMbtu</t>
  </si>
  <si>
    <t>Updated Stats with VISTAS Data</t>
  </si>
  <si>
    <t>95th Percentile Value</t>
  </si>
  <si>
    <t>90th Percentile Value</t>
  </si>
  <si>
    <t>85th Percentile Value</t>
  </si>
  <si>
    <t>80th Percentile Value</t>
  </si>
  <si>
    <t>75th Percentile Value</t>
  </si>
  <si>
    <t>70th Percentile Value</t>
  </si>
  <si>
    <t>65th Percentile Value</t>
  </si>
  <si>
    <t>All Non EGU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</si>
</sst>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quot;$&quot;#,##0.00\ ;\(&quot;$&quot;#,##0.00\)"/>
    <numFmt numFmtId="167" formatCode="&quot;$&quot;#,##0\ ;\(&quot;$&quot;#,##0\)"/>
    <numFmt numFmtId="168" formatCode="_(&quot;$&quot;* #,##0_);_(&quot;$&quot;* \(#,##0\);_(&quot;$&quot;*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sz val="12"/>
      <name val="Times New Roman"/>
      <family val="1"/>
    </font>
    <font>
      <u/>
      <sz val="11"/>
      <color theme="10"/>
      <name val="Calibri"/>
      <family val="2"/>
      <scheme val="minor"/>
    </font>
    <font>
      <u/>
      <sz val="12"/>
      <name val="Times New Roman"/>
      <family val="1"/>
    </font>
    <font>
      <sz val="11"/>
      <name val="Calibri"/>
      <family val="2"/>
      <scheme val="minor"/>
    </font>
    <font>
      <vertAlign val="subscript"/>
      <sz val="11"/>
      <color theme="1"/>
      <name val="Calibri"/>
      <family val="2"/>
      <scheme val="minor"/>
    </font>
    <font>
      <sz val="10"/>
      <name val="Arial"/>
      <family val="2"/>
    </font>
    <font>
      <sz val="12"/>
      <color indexed="24"/>
      <name val="Arial"/>
      <family val="2"/>
    </font>
    <font>
      <sz val="12"/>
      <name val="Arial"/>
      <family val="2"/>
    </font>
    <font>
      <b/>
      <sz val="18"/>
      <name val="Arial"/>
      <family val="2"/>
    </font>
    <font>
      <sz val="18"/>
      <color indexed="24"/>
      <name val="Arial"/>
      <family val="2"/>
    </font>
    <font>
      <b/>
      <sz val="12"/>
      <name val="Arial"/>
      <family val="2"/>
    </font>
    <font>
      <sz val="8"/>
      <color indexed="24"/>
      <name val="Arial"/>
      <family val="2"/>
    </font>
    <font>
      <u/>
      <sz val="11"/>
      <color theme="10"/>
      <name val="Calibri"/>
      <family val="2"/>
    </font>
    <font>
      <sz val="11"/>
      <name val="Times New Roman"/>
      <family val="1"/>
    </font>
    <font>
      <sz val="18"/>
      <color theme="3"/>
      <name val="Cambria"/>
      <family val="2"/>
      <scheme val="major"/>
    </font>
    <font>
      <sz val="10"/>
      <color theme="1"/>
      <name val="Open Sans"/>
      <family val="2"/>
    </font>
    <font>
      <b/>
      <sz val="10"/>
      <color theme="1"/>
      <name val="Open Sans"/>
      <family val="2"/>
    </font>
    <font>
      <b/>
      <vertAlign val="subscript"/>
      <sz val="10"/>
      <color theme="1"/>
      <name val="Open Sans"/>
      <family val="2"/>
    </font>
    <font>
      <b/>
      <sz val="9"/>
      <color indexed="81"/>
      <name val="Tahoma"/>
      <family val="2"/>
    </font>
    <font>
      <sz val="9"/>
      <color indexed="81"/>
      <name val="Tahoma"/>
      <family val="2"/>
    </font>
    <font>
      <sz val="12"/>
      <color rgb="FFFF0000"/>
      <name val="Times New Roman"/>
      <family val="1"/>
    </font>
    <font>
      <u/>
      <sz val="11"/>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rgb="FFFCEDC4"/>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0"/>
      </top>
      <bottom style="double">
        <color indexed="0"/>
      </bottom>
      <diagonal/>
    </border>
    <border>
      <left/>
      <right/>
      <top style="double">
        <color indexed="64"/>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s>
  <cellStyleXfs count="12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1" fillId="0" borderId="0" applyFont="0" applyFill="0" applyBorder="0" applyAlignment="0" applyProtection="0"/>
    <xf numFmtId="166" fontId="11" fillId="0" borderId="0" applyFont="0" applyFill="0" applyBorder="0" applyAlignment="0" applyProtection="0"/>
    <xf numFmtId="44" fontId="10" fillId="0" borderId="0" applyFont="0" applyFill="0" applyBorder="0" applyAlignment="0" applyProtection="0"/>
    <xf numFmtId="5" fontId="10" fillId="0" borderId="0" applyFont="0" applyFill="0" applyBorder="0" applyAlignment="0" applyProtection="0"/>
    <xf numFmtId="5" fontId="10" fillId="0" borderId="0" applyFont="0" applyFill="0" applyBorder="0" applyAlignment="0" applyProtection="0"/>
    <xf numFmtId="5" fontId="10" fillId="0" borderId="0" applyFont="0" applyFill="0" applyBorder="0" applyAlignment="0" applyProtection="0"/>
    <xf numFmtId="167" fontId="11" fillId="0" borderId="0" applyFont="0" applyFill="0" applyBorder="0" applyAlignment="0" applyProtection="0"/>
    <xf numFmtId="0" fontId="12" fillId="0" borderId="0" applyProtection="0"/>
    <xf numFmtId="0" fontId="12" fillId="0" borderId="0" applyProtection="0"/>
    <xf numFmtId="0" fontId="12" fillId="0" borderId="0" applyProtection="0"/>
    <xf numFmtId="0" fontId="11" fillId="0" borderId="0" applyFont="0" applyFill="0" applyBorder="0" applyAlignment="0" applyProtection="0"/>
    <xf numFmtId="2" fontId="12" fillId="0" borderId="0" applyProtection="0"/>
    <xf numFmtId="2" fontId="12" fillId="0" borderId="0" applyProtection="0"/>
    <xf numFmtId="2" fontId="12" fillId="0" borderId="0" applyProtection="0"/>
    <xf numFmtId="2" fontId="11" fillId="0" borderId="0" applyFont="0" applyFill="0" applyBorder="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4" fillId="0" borderId="0" applyNumberFormat="0" applyFill="0" applyBorder="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6" fillId="0" borderId="0" applyNumberFormat="0" applyFill="0" applyBorder="0" applyAlignment="0" applyProtection="0"/>
    <xf numFmtId="0" fontId="13" fillId="0" borderId="0" applyProtection="0"/>
    <xf numFmtId="0" fontId="13" fillId="0" borderId="0" applyProtection="0"/>
    <xf numFmtId="0" fontId="13" fillId="0" borderId="0" applyProtection="0"/>
    <xf numFmtId="0" fontId="15" fillId="0" borderId="0" applyProtection="0"/>
    <xf numFmtId="0" fontId="15" fillId="0" borderId="0" applyProtection="0"/>
    <xf numFmtId="0" fontId="15" fillId="0" borderId="0" applyProtection="0"/>
    <xf numFmtId="0" fontId="17" fillId="0" borderId="0" applyNumberFormat="0" applyFill="0" applyBorder="0" applyAlignment="0" applyProtection="0">
      <alignment vertical="top"/>
      <protection locked="0"/>
    </xf>
    <xf numFmtId="0" fontId="10" fillId="0" borderId="0"/>
    <xf numFmtId="0" fontId="10" fillId="0" borderId="0"/>
    <xf numFmtId="0" fontId="1"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0" fontId="11" fillId="0" borderId="0" applyFont="0" applyFill="0" applyBorder="0" applyAlignment="0" applyProtection="0"/>
    <xf numFmtId="0" fontId="19" fillId="0" borderId="0" applyNumberFormat="0" applyFill="0" applyBorder="0" applyAlignment="0"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2" fillId="0" borderId="6" applyProtection="0"/>
    <xf numFmtId="0" fontId="11" fillId="0" borderId="7" applyNumberFormat="0" applyFont="0" applyFill="0" applyAlignment="0" applyProtection="0"/>
    <xf numFmtId="0" fontId="20" fillId="0" borderId="0"/>
  </cellStyleXfs>
  <cellXfs count="153">
    <xf numFmtId="0" fontId="0" fillId="0" borderId="0" xfId="0"/>
    <xf numFmtId="0" fontId="3" fillId="0" borderId="0" xfId="0" applyFont="1" applyAlignment="1">
      <alignment horizontal="center"/>
    </xf>
    <xf numFmtId="0" fontId="3" fillId="0" borderId="0" xfId="0" applyFont="1" applyAlignment="1"/>
    <xf numFmtId="0" fontId="3" fillId="0" borderId="0" xfId="0" applyFont="1" applyAlignment="1">
      <alignment horizontal="left"/>
    </xf>
    <xf numFmtId="0" fontId="3" fillId="0" borderId="0" xfId="0" applyFont="1" applyAlignment="1">
      <alignment horizontal="center" vertical="center"/>
    </xf>
    <xf numFmtId="0" fontId="5" fillId="0" borderId="0" xfId="0" applyFont="1" applyFill="1" applyAlignment="1">
      <alignment horizontal="center"/>
    </xf>
    <xf numFmtId="0" fontId="5" fillId="0" borderId="0" xfId="0" applyFont="1" applyFill="1" applyAlignment="1"/>
    <xf numFmtId="0" fontId="5" fillId="0" borderId="0" xfId="0" applyFont="1" applyFill="1" applyAlignment="1">
      <alignment horizontal="left"/>
    </xf>
    <xf numFmtId="0" fontId="5" fillId="0" borderId="0" xfId="0" applyFont="1" applyFill="1" applyAlignment="1">
      <alignment horizontal="center" vertical="center"/>
    </xf>
    <xf numFmtId="2" fontId="5" fillId="0" borderId="0" xfId="0" applyNumberFormat="1" applyFont="1" applyFill="1" applyAlignment="1">
      <alignment horizontal="center" vertical="center"/>
    </xf>
    <xf numFmtId="0" fontId="0" fillId="0" borderId="0" xfId="0" applyAlignment="1">
      <alignment horizontal="left"/>
    </xf>
    <xf numFmtId="0" fontId="0" fillId="0" borderId="0" xfId="0" applyNumberFormat="1"/>
    <xf numFmtId="0" fontId="2" fillId="0" borderId="1" xfId="0" applyFont="1" applyBorder="1" applyAlignment="1">
      <alignment horizontal="center"/>
    </xf>
    <xf numFmtId="0" fontId="2" fillId="0" borderId="2" xfId="0" applyFont="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1" xfId="0" applyFont="1" applyBorder="1" applyAlignment="1">
      <alignment horizontal="center"/>
    </xf>
    <xf numFmtId="165" fontId="1" fillId="0" borderId="1" xfId="1" applyNumberFormat="1" applyFont="1" applyBorder="1"/>
    <xf numFmtId="1" fontId="1" fillId="0" borderId="1" xfId="2" applyNumberFormat="1" applyFont="1" applyBorder="1"/>
    <xf numFmtId="9" fontId="1" fillId="0" borderId="1" xfId="3" applyFont="1" applyBorder="1" applyAlignment="1">
      <alignment horizontal="center"/>
    </xf>
    <xf numFmtId="0" fontId="0" fillId="0" borderId="1" xfId="0" applyFont="1" applyBorder="1"/>
    <xf numFmtId="0" fontId="0" fillId="0" borderId="1" xfId="0" applyFont="1" applyBorder="1" applyAlignment="1">
      <alignment horizontal="center" vertical="center"/>
    </xf>
    <xf numFmtId="0" fontId="20" fillId="0" borderId="0" xfId="125"/>
    <xf numFmtId="0" fontId="20" fillId="0" borderId="0" xfId="125" applyAlignment="1">
      <alignment horizontal="center"/>
    </xf>
    <xf numFmtId="6" fontId="20" fillId="0" borderId="0" xfId="125" applyNumberFormat="1" applyAlignment="1">
      <alignment horizontal="center"/>
    </xf>
    <xf numFmtId="0" fontId="20" fillId="0" borderId="0" xfId="125" applyFont="1" applyAlignment="1">
      <alignment wrapText="1"/>
    </xf>
    <xf numFmtId="0" fontId="20" fillId="0" borderId="0" xfId="125" applyFont="1" applyAlignment="1">
      <alignment horizontal="center" wrapText="1"/>
    </xf>
    <xf numFmtId="6" fontId="20" fillId="0" borderId="0" xfId="125" applyNumberFormat="1" applyFont="1" applyAlignment="1">
      <alignment horizontal="center" wrapText="1"/>
    </xf>
    <xf numFmtId="38" fontId="20" fillId="0" borderId="0" xfId="125" applyNumberFormat="1" applyFont="1" applyAlignment="1">
      <alignment horizontal="center" wrapText="1"/>
    </xf>
    <xf numFmtId="3" fontId="20" fillId="0" borderId="0" xfId="125" applyNumberFormat="1" applyFont="1" applyAlignment="1">
      <alignment horizontal="center" wrapText="1"/>
    </xf>
    <xf numFmtId="0" fontId="21" fillId="0" borderId="0" xfId="125" applyFont="1" applyAlignment="1">
      <alignment wrapText="1"/>
    </xf>
    <xf numFmtId="38" fontId="20" fillId="0" borderId="0" xfId="125" applyNumberFormat="1" applyAlignment="1">
      <alignment horizontal="center"/>
    </xf>
    <xf numFmtId="3" fontId="20" fillId="0" borderId="0" xfId="125" applyNumberFormat="1" applyAlignment="1">
      <alignment horizontal="center"/>
    </xf>
    <xf numFmtId="0" fontId="21" fillId="0" borderId="0" xfId="125" applyFont="1" applyAlignment="1">
      <alignment horizontal="center" wrapText="1"/>
    </xf>
    <xf numFmtId="6" fontId="21" fillId="0" borderId="0" xfId="125" applyNumberFormat="1" applyFont="1" applyAlignment="1">
      <alignment horizontal="center" wrapText="1"/>
    </xf>
    <xf numFmtId="0" fontId="20" fillId="0" borderId="0" xfId="125" applyFont="1"/>
    <xf numFmtId="0" fontId="20" fillId="0" borderId="0" xfId="125" applyFont="1" applyAlignment="1">
      <alignment horizontal="center"/>
    </xf>
    <xf numFmtId="0" fontId="20" fillId="0" borderId="0" xfId="125" applyFont="1" applyBorder="1" applyAlignment="1">
      <alignment horizontal="center" vertical="center" wrapText="1"/>
    </xf>
    <xf numFmtId="6" fontId="20" fillId="0" borderId="0" xfId="125" applyNumberFormat="1" applyFont="1" applyBorder="1" applyAlignment="1">
      <alignment horizontal="center" vertical="center" wrapText="1"/>
    </xf>
    <xf numFmtId="3" fontId="20" fillId="0" borderId="0" xfId="125" applyNumberFormat="1" applyFont="1" applyBorder="1" applyAlignment="1">
      <alignment horizontal="center" vertical="center" wrapText="1"/>
    </xf>
    <xf numFmtId="9" fontId="20" fillId="0" borderId="0" xfId="125" applyNumberFormat="1" applyFont="1" applyBorder="1" applyAlignment="1">
      <alignment horizontal="center" vertical="center" wrapText="1"/>
    </xf>
    <xf numFmtId="0" fontId="20" fillId="0" borderId="0" xfId="125" applyFont="1" applyBorder="1" applyAlignment="1">
      <alignment vertical="center" wrapText="1"/>
    </xf>
    <xf numFmtId="8" fontId="20" fillId="0" borderId="0" xfId="125" applyNumberFormat="1" applyFont="1" applyBorder="1" applyAlignment="1">
      <alignment horizontal="center" vertical="center" wrapText="1"/>
    </xf>
    <xf numFmtId="0" fontId="21" fillId="0" borderId="0" xfId="125" applyFont="1" applyFill="1" applyBorder="1" applyAlignment="1">
      <alignment horizontal="center" vertical="center" wrapText="1"/>
    </xf>
    <xf numFmtId="0" fontId="21" fillId="0" borderId="0" xfId="125" applyFont="1" applyBorder="1" applyAlignment="1">
      <alignment horizontal="center" vertical="center" wrapText="1"/>
    </xf>
    <xf numFmtId="0" fontId="21" fillId="0" borderId="0" xfId="125" applyFont="1" applyBorder="1" applyAlignment="1">
      <alignment vertical="center" wrapText="1"/>
    </xf>
    <xf numFmtId="0" fontId="4" fillId="0" borderId="0" xfId="0" applyFont="1" applyAlignment="1">
      <alignment horizontal="center" vertical="center" textRotation="180" wrapText="1"/>
    </xf>
    <xf numFmtId="0" fontId="5" fillId="0" borderId="0" xfId="0" applyFont="1" applyFill="1" applyAlignment="1">
      <alignment horizontal="left" wrapText="1"/>
    </xf>
    <xf numFmtId="0" fontId="5" fillId="0" borderId="0" xfId="0" applyFont="1" applyFill="1" applyAlignment="1">
      <alignment wrapText="1"/>
    </xf>
    <xf numFmtId="0" fontId="3" fillId="0" borderId="0" xfId="0" applyFont="1" applyAlignment="1">
      <alignment wrapText="1"/>
    </xf>
    <xf numFmtId="0" fontId="4" fillId="0" borderId="1" xfId="0" applyFont="1" applyBorder="1" applyAlignment="1">
      <alignment horizontal="center" vertical="center" textRotation="180" wrapText="1"/>
    </xf>
    <xf numFmtId="0" fontId="5" fillId="0" borderId="1" xfId="0" applyFont="1" applyFill="1" applyBorder="1" applyAlignment="1"/>
    <xf numFmtId="0" fontId="5" fillId="0" borderId="1" xfId="0" applyFont="1" applyFill="1" applyBorder="1" applyAlignment="1">
      <alignment wrapText="1"/>
    </xf>
    <xf numFmtId="49" fontId="5" fillId="0" borderId="1" xfId="0" applyNumberFormat="1" applyFont="1" applyFill="1" applyBorder="1" applyAlignment="1"/>
    <xf numFmtId="6" fontId="5" fillId="0" borderId="1" xfId="0" applyNumberFormat="1" applyFont="1" applyFill="1" applyBorder="1" applyAlignment="1"/>
    <xf numFmtId="2" fontId="5" fillId="0" borderId="1" xfId="0" applyNumberFormat="1" applyFont="1" applyFill="1" applyBorder="1" applyAlignment="1"/>
    <xf numFmtId="8" fontId="5" fillId="0" borderId="1" xfId="0" applyNumberFormat="1" applyFont="1" applyFill="1" applyBorder="1" applyAlignment="1"/>
    <xf numFmtId="0" fontId="7" fillId="0" borderId="1" xfId="4" applyFont="1" applyFill="1" applyBorder="1" applyAlignment="1">
      <alignment wrapText="1"/>
    </xf>
    <xf numFmtId="164" fontId="5" fillId="0" borderId="1" xfId="0" applyNumberFormat="1" applyFont="1" applyFill="1" applyBorder="1" applyAlignment="1"/>
    <xf numFmtId="0" fontId="5" fillId="0" borderId="1" xfId="0" applyNumberFormat="1" applyFont="1" applyFill="1" applyBorder="1" applyAlignment="1"/>
    <xf numFmtId="0" fontId="5" fillId="0" borderId="1" xfId="2" applyNumberFormat="1" applyFont="1" applyFill="1" applyBorder="1" applyAlignment="1"/>
    <xf numFmtId="0" fontId="6" fillId="0" borderId="1" xfId="4" applyFill="1" applyBorder="1" applyAlignment="1">
      <alignment wrapText="1"/>
    </xf>
    <xf numFmtId="43" fontId="5" fillId="0" borderId="1" xfId="1" applyFont="1" applyFill="1" applyBorder="1" applyAlignment="1"/>
    <xf numFmtId="2" fontId="8" fillId="0" borderId="1" xfId="0" applyNumberFormat="1" applyFont="1" applyFill="1" applyBorder="1" applyAlignment="1"/>
    <xf numFmtId="0" fontId="5" fillId="2" borderId="1" xfId="0" applyFont="1" applyFill="1" applyBorder="1" applyAlignment="1"/>
    <xf numFmtId="0" fontId="5" fillId="2" borderId="1" xfId="0" applyFont="1" applyFill="1" applyBorder="1" applyAlignment="1">
      <alignment wrapText="1"/>
    </xf>
    <xf numFmtId="2" fontId="5" fillId="2" borderId="1" xfId="0" applyNumberFormat="1" applyFont="1" applyFill="1" applyBorder="1" applyAlignment="1"/>
    <xf numFmtId="6" fontId="5" fillId="2" borderId="1" xfId="0" applyNumberFormat="1" applyFont="1" applyFill="1" applyBorder="1" applyAlignment="1"/>
    <xf numFmtId="8" fontId="5" fillId="2" borderId="1" xfId="0" applyNumberFormat="1" applyFont="1" applyFill="1" applyBorder="1" applyAlignment="1"/>
    <xf numFmtId="0" fontId="5" fillId="3" borderId="1" xfId="0" applyFont="1" applyFill="1" applyBorder="1" applyAlignment="1"/>
    <xf numFmtId="0" fontId="5" fillId="3" borderId="1" xfId="0" applyFont="1" applyFill="1" applyBorder="1" applyAlignment="1">
      <alignment wrapText="1"/>
    </xf>
    <xf numFmtId="6" fontId="5" fillId="3" borderId="1" xfId="0" applyNumberFormat="1" applyFont="1" applyFill="1" applyBorder="1" applyAlignment="1"/>
    <xf numFmtId="2" fontId="5" fillId="3" borderId="1" xfId="0" applyNumberFormat="1" applyFont="1" applyFill="1" applyBorder="1" applyAlignment="1"/>
    <xf numFmtId="8" fontId="5" fillId="3" borderId="1" xfId="0" applyNumberFormat="1" applyFont="1" applyFill="1" applyBorder="1" applyAlignment="1"/>
    <xf numFmtId="0" fontId="5" fillId="4" borderId="1" xfId="0" applyFont="1" applyFill="1" applyBorder="1" applyAlignment="1">
      <alignment horizontal="left"/>
    </xf>
    <xf numFmtId="0" fontId="5" fillId="4" borderId="1" xfId="0" applyFont="1" applyFill="1" applyBorder="1" applyAlignment="1">
      <alignment wrapText="1"/>
    </xf>
    <xf numFmtId="0" fontId="5" fillId="4" borderId="1" xfId="0" applyFont="1" applyFill="1" applyBorder="1" applyAlignment="1"/>
    <xf numFmtId="0" fontId="5" fillId="4" borderId="1" xfId="0" applyFont="1" applyFill="1" applyBorder="1" applyAlignment="1">
      <alignment horizontal="center"/>
    </xf>
    <xf numFmtId="0" fontId="5" fillId="4" borderId="1" xfId="0" applyFont="1" applyFill="1" applyBorder="1" applyAlignment="1">
      <alignment horizontal="left" wrapText="1"/>
    </xf>
    <xf numFmtId="1" fontId="5" fillId="4" borderId="1" xfId="0" applyNumberFormat="1" applyFont="1" applyFill="1" applyBorder="1" applyAlignment="1">
      <alignment horizontal="right"/>
    </xf>
    <xf numFmtId="6" fontId="5" fillId="4" borderId="1" xfId="0" applyNumberFormat="1" applyFont="1" applyFill="1" applyBorder="1" applyAlignment="1">
      <alignment horizontal="right"/>
    </xf>
    <xf numFmtId="0" fontId="5" fillId="4" borderId="1" xfId="0" applyFont="1" applyFill="1" applyBorder="1" applyAlignment="1">
      <alignment horizontal="right"/>
    </xf>
    <xf numFmtId="2" fontId="5" fillId="4" borderId="1" xfId="0" applyNumberFormat="1" applyFont="1" applyFill="1" applyBorder="1" applyAlignment="1"/>
    <xf numFmtId="8" fontId="5" fillId="4" borderId="1" xfId="0" applyNumberFormat="1" applyFont="1" applyFill="1" applyBorder="1" applyAlignment="1"/>
    <xf numFmtId="0" fontId="0" fillId="0" borderId="1" xfId="0" applyBorder="1" applyAlignment="1">
      <alignment horizontal="center"/>
    </xf>
    <xf numFmtId="2" fontId="5" fillId="5" borderId="1" xfId="0" applyNumberFormat="1" applyFont="1" applyFill="1" applyBorder="1" applyAlignment="1"/>
    <xf numFmtId="0" fontId="5" fillId="5" borderId="1" xfId="0" applyFont="1" applyFill="1" applyBorder="1" applyAlignment="1">
      <alignment horizontal="left"/>
    </xf>
    <xf numFmtId="0" fontId="5" fillId="0" borderId="9" xfId="0" applyFont="1" applyFill="1" applyBorder="1" applyAlignment="1"/>
    <xf numFmtId="0" fontId="7" fillId="5" borderId="1" xfId="4" applyFont="1" applyFill="1" applyBorder="1" applyAlignment="1"/>
    <xf numFmtId="0" fontId="5" fillId="0" borderId="9" xfId="0" applyFont="1" applyFill="1" applyBorder="1" applyAlignment="1">
      <alignment wrapText="1"/>
    </xf>
    <xf numFmtId="0" fontId="5" fillId="5" borderId="1" xfId="0" applyFont="1" applyFill="1" applyBorder="1" applyAlignment="1"/>
    <xf numFmtId="0" fontId="5" fillId="5" borderId="1" xfId="0" applyFont="1" applyFill="1" applyBorder="1" applyAlignment="1">
      <alignment horizontal="center"/>
    </xf>
    <xf numFmtId="49" fontId="5" fillId="0" borderId="9" xfId="0" applyNumberFormat="1" applyFont="1" applyFill="1" applyBorder="1" applyAlignment="1"/>
    <xf numFmtId="0" fontId="5" fillId="5" borderId="1" xfId="0" applyFont="1" applyFill="1" applyBorder="1" applyAlignment="1">
      <alignment horizontal="center" vertical="center"/>
    </xf>
    <xf numFmtId="1" fontId="5" fillId="5" borderId="1" xfId="0" applyNumberFormat="1" applyFont="1" applyFill="1" applyBorder="1" applyAlignment="1">
      <alignment horizontal="right" vertical="center"/>
    </xf>
    <xf numFmtId="2" fontId="5" fillId="0" borderId="9" xfId="0" applyNumberFormat="1" applyFont="1" applyFill="1" applyBorder="1" applyAlignment="1"/>
    <xf numFmtId="168" fontId="5" fillId="5" borderId="1" xfId="2" applyNumberFormat="1" applyFont="1" applyFill="1" applyBorder="1" applyAlignment="1">
      <alignment horizontal="center"/>
    </xf>
    <xf numFmtId="6" fontId="5" fillId="0" borderId="9" xfId="0" applyNumberFormat="1" applyFont="1" applyFill="1" applyBorder="1" applyAlignment="1"/>
    <xf numFmtId="0" fontId="5" fillId="5" borderId="1" xfId="0" applyFont="1" applyFill="1" applyBorder="1" applyAlignment="1">
      <alignment horizontal="right" vertical="center"/>
    </xf>
    <xf numFmtId="0" fontId="5" fillId="0" borderId="0" xfId="0" applyFont="1" applyFill="1" applyBorder="1" applyAlignment="1">
      <alignment wrapText="1"/>
    </xf>
    <xf numFmtId="0" fontId="5" fillId="3" borderId="0" xfId="0" applyFont="1" applyFill="1" applyBorder="1" applyAlignment="1"/>
    <xf numFmtId="44" fontId="5" fillId="5" borderId="1" xfId="0" applyNumberFormat="1" applyFont="1" applyFill="1" applyBorder="1" applyAlignment="1"/>
    <xf numFmtId="8" fontId="5" fillId="0" borderId="9" xfId="0" applyNumberFormat="1" applyFont="1" applyFill="1" applyBorder="1" applyAlignment="1"/>
    <xf numFmtId="0" fontId="5" fillId="4" borderId="8" xfId="0" applyFont="1" applyFill="1" applyBorder="1" applyAlignment="1">
      <alignment horizontal="left"/>
    </xf>
    <xf numFmtId="0" fontId="5" fillId="4" borderId="8" xfId="0" applyFont="1" applyFill="1" applyBorder="1" applyAlignment="1">
      <alignment wrapText="1"/>
    </xf>
    <xf numFmtId="0" fontId="5" fillId="4" borderId="8" xfId="0" applyFont="1" applyFill="1" applyBorder="1" applyAlignment="1"/>
    <xf numFmtId="0" fontId="5" fillId="4" borderId="8" xfId="0" applyFont="1" applyFill="1" applyBorder="1" applyAlignment="1">
      <alignment horizontal="center"/>
    </xf>
    <xf numFmtId="0" fontId="5" fillId="4" borderId="8" xfId="0" applyFont="1" applyFill="1" applyBorder="1" applyAlignment="1">
      <alignment horizontal="left" wrapText="1"/>
    </xf>
    <xf numFmtId="1" fontId="5" fillId="4" borderId="8" xfId="0" applyNumberFormat="1" applyFont="1" applyFill="1" applyBorder="1" applyAlignment="1">
      <alignment horizontal="right"/>
    </xf>
    <xf numFmtId="6" fontId="5" fillId="4" borderId="8" xfId="0" applyNumberFormat="1" applyFont="1" applyFill="1" applyBorder="1" applyAlignment="1">
      <alignment horizontal="right"/>
    </xf>
    <xf numFmtId="0" fontId="5" fillId="4" borderId="8" xfId="0" applyFont="1" applyFill="1" applyBorder="1" applyAlignment="1">
      <alignment horizontal="right"/>
    </xf>
    <xf numFmtId="8" fontId="5" fillId="4" borderId="8" xfId="0" applyNumberFormat="1" applyFont="1" applyFill="1" applyBorder="1" applyAlignment="1"/>
    <xf numFmtId="1" fontId="0" fillId="0" borderId="0" xfId="0" applyNumberFormat="1"/>
    <xf numFmtId="1" fontId="0" fillId="0" borderId="9" xfId="0" applyNumberFormat="1" applyBorder="1"/>
    <xf numFmtId="9" fontId="0" fillId="0" borderId="9" xfId="3" applyFont="1" applyBorder="1"/>
    <xf numFmtId="0" fontId="2" fillId="0" borderId="9" xfId="0" applyFont="1" applyBorder="1" applyAlignment="1">
      <alignment horizontal="center"/>
    </xf>
    <xf numFmtId="0" fontId="0" fillId="0" borderId="9" xfId="0" applyBorder="1"/>
    <xf numFmtId="3" fontId="1" fillId="0" borderId="1" xfId="1" applyNumberFormat="1" applyFont="1" applyBorder="1"/>
    <xf numFmtId="3" fontId="0" fillId="0" borderId="1" xfId="0" applyNumberFormat="1" applyFont="1" applyBorder="1"/>
    <xf numFmtId="41" fontId="0" fillId="0" borderId="9" xfId="1" applyNumberFormat="1" applyFont="1" applyBorder="1"/>
    <xf numFmtId="0" fontId="26" fillId="6" borderId="0" xfId="0" applyFont="1" applyFill="1"/>
    <xf numFmtId="0" fontId="0" fillId="6" borderId="0" xfId="0" applyFill="1"/>
    <xf numFmtId="0" fontId="0" fillId="0" borderId="9" xfId="0" applyFill="1" applyBorder="1" applyAlignment="1">
      <alignment horizontal="center" wrapText="1"/>
    </xf>
    <xf numFmtId="0" fontId="0" fillId="7" borderId="9" xfId="0" applyFill="1" applyBorder="1"/>
    <xf numFmtId="0" fontId="0" fillId="7" borderId="1" xfId="0" applyFont="1" applyFill="1" applyBorder="1" applyAlignment="1">
      <alignment horizontal="center"/>
    </xf>
    <xf numFmtId="165" fontId="1" fillId="7" borderId="1" xfId="1" applyNumberFormat="1" applyFont="1" applyFill="1" applyBorder="1"/>
    <xf numFmtId="3" fontId="1" fillId="7" borderId="1" xfId="1" applyNumberFormat="1" applyFont="1" applyFill="1" applyBorder="1"/>
    <xf numFmtId="0" fontId="0" fillId="7" borderId="1" xfId="0" applyFont="1" applyFill="1" applyBorder="1"/>
    <xf numFmtId="9" fontId="1" fillId="7" borderId="1" xfId="3" applyFont="1" applyFill="1" applyBorder="1" applyAlignment="1">
      <alignment horizontal="center"/>
    </xf>
    <xf numFmtId="3" fontId="0" fillId="7" borderId="1" xfId="0" applyNumberFormat="1" applyFont="1" applyFill="1" applyBorder="1"/>
    <xf numFmtId="0" fontId="8" fillId="7" borderId="1" xfId="0" applyFont="1" applyFill="1" applyBorder="1" applyAlignment="1">
      <alignment horizontal="center"/>
    </xf>
    <xf numFmtId="0" fontId="0" fillId="8" borderId="9" xfId="0" applyFill="1" applyBorder="1"/>
    <xf numFmtId="0" fontId="0" fillId="8" borderId="1" xfId="0" applyFont="1" applyFill="1" applyBorder="1" applyAlignment="1">
      <alignment horizontal="center"/>
    </xf>
    <xf numFmtId="165" fontId="1" fillId="8" borderId="1" xfId="1" applyNumberFormat="1" applyFont="1" applyFill="1" applyBorder="1"/>
    <xf numFmtId="3" fontId="1" fillId="8" borderId="1" xfId="1" applyNumberFormat="1" applyFont="1" applyFill="1" applyBorder="1"/>
    <xf numFmtId="0" fontId="0" fillId="8" borderId="1" xfId="0" applyFont="1" applyFill="1" applyBorder="1"/>
    <xf numFmtId="9" fontId="1" fillId="8" borderId="1" xfId="3" applyFont="1" applyFill="1" applyBorder="1" applyAlignment="1">
      <alignment horizontal="center"/>
    </xf>
    <xf numFmtId="3" fontId="0" fillId="8" borderId="1" xfId="0" applyNumberFormat="1" applyFont="1" applyFill="1" applyBorder="1"/>
    <xf numFmtId="0" fontId="0" fillId="8" borderId="9" xfId="0" applyFont="1" applyFill="1" applyBorder="1" applyAlignment="1">
      <alignment horizontal="center" vertical="center"/>
    </xf>
    <xf numFmtId="0" fontId="0" fillId="8" borderId="9" xfId="0" applyFont="1" applyFill="1" applyBorder="1" applyAlignment="1">
      <alignment horizontal="center"/>
    </xf>
    <xf numFmtId="0" fontId="8" fillId="9" borderId="1" xfId="0" applyFont="1" applyFill="1" applyBorder="1" applyAlignment="1">
      <alignment horizontal="center"/>
    </xf>
    <xf numFmtId="165" fontId="8" fillId="9" borderId="1" xfId="1" applyNumberFormat="1" applyFont="1" applyFill="1" applyBorder="1"/>
    <xf numFmtId="3" fontId="8" fillId="9" borderId="1" xfId="1" applyNumberFormat="1" applyFont="1" applyFill="1" applyBorder="1"/>
    <xf numFmtId="0" fontId="8" fillId="9" borderId="1" xfId="0" applyFont="1" applyFill="1" applyBorder="1"/>
    <xf numFmtId="9" fontId="8" fillId="9" borderId="1" xfId="3" applyFont="1" applyFill="1" applyBorder="1" applyAlignment="1">
      <alignment horizontal="center"/>
    </xf>
    <xf numFmtId="3" fontId="8" fillId="9" borderId="1" xfId="0" applyNumberFormat="1" applyFont="1" applyFill="1" applyBorder="1"/>
    <xf numFmtId="0" fontId="0" fillId="0" borderId="1" xfId="0" applyBorder="1" applyAlignment="1">
      <alignment horizont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cellXfs>
  <cellStyles count="126">
    <cellStyle name="Comma" xfId="1" builtinId="3"/>
    <cellStyle name="Comma 2" xfId="5" xr:uid="{00000000-0005-0000-0000-000001000000}"/>
    <cellStyle name="Comma 3" xfId="6" xr:uid="{00000000-0005-0000-0000-000002000000}"/>
    <cellStyle name="Comma 4" xfId="7" xr:uid="{00000000-0005-0000-0000-000003000000}"/>
    <cellStyle name="Comma 5" xfId="8" xr:uid="{00000000-0005-0000-0000-000004000000}"/>
    <cellStyle name="Comma 6" xfId="9" xr:uid="{00000000-0005-0000-0000-000005000000}"/>
    <cellStyle name="Comma 7" xfId="10" xr:uid="{00000000-0005-0000-0000-000006000000}"/>
    <cellStyle name="Comma 7 2" xfId="11" xr:uid="{00000000-0005-0000-0000-000007000000}"/>
    <cellStyle name="Comma0" xfId="12" xr:uid="{00000000-0005-0000-0000-000008000000}"/>
    <cellStyle name="Comma0 2" xfId="13" xr:uid="{00000000-0005-0000-0000-000009000000}"/>
    <cellStyle name="Comma0 3" xfId="14" xr:uid="{00000000-0005-0000-0000-00000A000000}"/>
    <cellStyle name="Comma0 4" xfId="15" xr:uid="{00000000-0005-0000-0000-00000B000000}"/>
    <cellStyle name="Currency" xfId="2" builtinId="4"/>
    <cellStyle name="Currency 2" xfId="16" xr:uid="{00000000-0005-0000-0000-00000D000000}"/>
    <cellStyle name="Currency 3" xfId="17" xr:uid="{00000000-0005-0000-0000-00000E000000}"/>
    <cellStyle name="Currency0" xfId="18" xr:uid="{00000000-0005-0000-0000-00000F000000}"/>
    <cellStyle name="Currency0 2" xfId="19" xr:uid="{00000000-0005-0000-0000-000010000000}"/>
    <cellStyle name="Currency0 3" xfId="20" xr:uid="{00000000-0005-0000-0000-000011000000}"/>
    <cellStyle name="Currency0 4" xfId="21" xr:uid="{00000000-0005-0000-0000-000012000000}"/>
    <cellStyle name="Date" xfId="22" xr:uid="{00000000-0005-0000-0000-000013000000}"/>
    <cellStyle name="Date 2" xfId="23" xr:uid="{00000000-0005-0000-0000-000014000000}"/>
    <cellStyle name="Date 3" xfId="24" xr:uid="{00000000-0005-0000-0000-000015000000}"/>
    <cellStyle name="Date 4" xfId="25" xr:uid="{00000000-0005-0000-0000-000016000000}"/>
    <cellStyle name="Fixed" xfId="26" xr:uid="{00000000-0005-0000-0000-000017000000}"/>
    <cellStyle name="Fixed 2" xfId="27" xr:uid="{00000000-0005-0000-0000-000018000000}"/>
    <cellStyle name="Fixed 3" xfId="28" xr:uid="{00000000-0005-0000-0000-000019000000}"/>
    <cellStyle name="Fixed 4" xfId="29" xr:uid="{00000000-0005-0000-0000-00001A000000}"/>
    <cellStyle name="Heading 1 2" xfId="30" xr:uid="{00000000-0005-0000-0000-00001B000000}"/>
    <cellStyle name="Heading 1 3" xfId="31" xr:uid="{00000000-0005-0000-0000-00001C000000}"/>
    <cellStyle name="Heading 1 4" xfId="32" xr:uid="{00000000-0005-0000-0000-00001D000000}"/>
    <cellStyle name="Heading 1 5" xfId="33" xr:uid="{00000000-0005-0000-0000-00001E000000}"/>
    <cellStyle name="Heading 1 6" xfId="34" xr:uid="{00000000-0005-0000-0000-00001F000000}"/>
    <cellStyle name="Heading 2 2" xfId="35" xr:uid="{00000000-0005-0000-0000-000020000000}"/>
    <cellStyle name="Heading 2 3" xfId="36" xr:uid="{00000000-0005-0000-0000-000021000000}"/>
    <cellStyle name="Heading 2 4" xfId="37" xr:uid="{00000000-0005-0000-0000-000022000000}"/>
    <cellStyle name="Heading 2 5" xfId="38" xr:uid="{00000000-0005-0000-0000-000023000000}"/>
    <cellStyle name="Heading 2 6" xfId="39" xr:uid="{00000000-0005-0000-0000-000024000000}"/>
    <cellStyle name="HEADING1" xfId="40" xr:uid="{00000000-0005-0000-0000-000025000000}"/>
    <cellStyle name="HEADING1 2" xfId="41" xr:uid="{00000000-0005-0000-0000-000026000000}"/>
    <cellStyle name="HEADING1 3" xfId="42" xr:uid="{00000000-0005-0000-0000-000027000000}"/>
    <cellStyle name="HEADING2" xfId="43" xr:uid="{00000000-0005-0000-0000-000028000000}"/>
    <cellStyle name="HEADING2 2" xfId="44" xr:uid="{00000000-0005-0000-0000-000029000000}"/>
    <cellStyle name="HEADING2 3" xfId="45" xr:uid="{00000000-0005-0000-0000-00002A000000}"/>
    <cellStyle name="Hyperlink" xfId="4" builtinId="8"/>
    <cellStyle name="Hyperlink 2" xfId="46" xr:uid="{00000000-0005-0000-0000-00002C000000}"/>
    <cellStyle name="Normal" xfId="0" builtinId="0"/>
    <cellStyle name="Normal 10" xfId="47" xr:uid="{00000000-0005-0000-0000-00002E000000}"/>
    <cellStyle name="Normal 10 2" xfId="48" xr:uid="{00000000-0005-0000-0000-00002F000000}"/>
    <cellStyle name="Normal 11" xfId="125" xr:uid="{00000000-0005-0000-0000-000030000000}"/>
    <cellStyle name="Normal 12" xfId="49" xr:uid="{00000000-0005-0000-0000-000031000000}"/>
    <cellStyle name="Normal 2" xfId="50" xr:uid="{00000000-0005-0000-0000-000032000000}"/>
    <cellStyle name="Normal 2 2" xfId="51" xr:uid="{00000000-0005-0000-0000-000033000000}"/>
    <cellStyle name="Normal 3" xfId="52" xr:uid="{00000000-0005-0000-0000-000034000000}"/>
    <cellStyle name="Normal 4" xfId="53" xr:uid="{00000000-0005-0000-0000-000035000000}"/>
    <cellStyle name="Normal 4 2" xfId="54" xr:uid="{00000000-0005-0000-0000-000036000000}"/>
    <cellStyle name="Normal 5" xfId="55" xr:uid="{00000000-0005-0000-0000-000037000000}"/>
    <cellStyle name="Normal 6" xfId="56" xr:uid="{00000000-0005-0000-0000-000038000000}"/>
    <cellStyle name="Normal 7" xfId="57" xr:uid="{00000000-0005-0000-0000-000039000000}"/>
    <cellStyle name="Normal 7 2" xfId="58" xr:uid="{00000000-0005-0000-0000-00003A000000}"/>
    <cellStyle name="Normal 8" xfId="59" xr:uid="{00000000-0005-0000-0000-00003B000000}"/>
    <cellStyle name="Normal 9" xfId="60" xr:uid="{00000000-0005-0000-0000-00003C000000}"/>
    <cellStyle name="Normal 9 2" xfId="61" xr:uid="{00000000-0005-0000-0000-00003D000000}"/>
    <cellStyle name="Percent" xfId="3" builtinId="5"/>
    <cellStyle name="Percent 2" xfId="62" xr:uid="{00000000-0005-0000-0000-00003F000000}"/>
    <cellStyle name="Percent 3" xfId="63" xr:uid="{00000000-0005-0000-0000-000040000000}"/>
    <cellStyle name="Percent 4" xfId="64" xr:uid="{00000000-0005-0000-0000-000041000000}"/>
    <cellStyle name="Percent 5" xfId="65" xr:uid="{00000000-0005-0000-0000-000042000000}"/>
    <cellStyle name="Percent 5 2" xfId="66" xr:uid="{00000000-0005-0000-0000-000043000000}"/>
    <cellStyle name="Percent 6" xfId="67" xr:uid="{00000000-0005-0000-0000-000044000000}"/>
    <cellStyle name="Title 2" xfId="68" xr:uid="{00000000-0005-0000-0000-000045000000}"/>
    <cellStyle name="Total 2" xfId="69" xr:uid="{00000000-0005-0000-0000-000046000000}"/>
    <cellStyle name="Total 2 2" xfId="70" xr:uid="{00000000-0005-0000-0000-000047000000}"/>
    <cellStyle name="Total 2 2 2" xfId="71" xr:uid="{00000000-0005-0000-0000-000048000000}"/>
    <cellStyle name="Total 2 2 2 2" xfId="72" xr:uid="{00000000-0005-0000-0000-000049000000}"/>
    <cellStyle name="Total 2 2 3" xfId="73" xr:uid="{00000000-0005-0000-0000-00004A000000}"/>
    <cellStyle name="Total 2 3" xfId="74" xr:uid="{00000000-0005-0000-0000-00004B000000}"/>
    <cellStyle name="Total 2 3 2" xfId="75" xr:uid="{00000000-0005-0000-0000-00004C000000}"/>
    <cellStyle name="Total 2 4" xfId="76" xr:uid="{00000000-0005-0000-0000-00004D000000}"/>
    <cellStyle name="Total 2 4 2" xfId="77" xr:uid="{00000000-0005-0000-0000-00004E000000}"/>
    <cellStyle name="Total 2 5" xfId="78" xr:uid="{00000000-0005-0000-0000-00004F000000}"/>
    <cellStyle name="Total 2 5 2" xfId="79" xr:uid="{00000000-0005-0000-0000-000050000000}"/>
    <cellStyle name="Total 2 6" xfId="80" xr:uid="{00000000-0005-0000-0000-000051000000}"/>
    <cellStyle name="Total 2 6 2" xfId="81" xr:uid="{00000000-0005-0000-0000-000052000000}"/>
    <cellStyle name="Total 2 7" xfId="82" xr:uid="{00000000-0005-0000-0000-000053000000}"/>
    <cellStyle name="Total 2 7 2" xfId="83" xr:uid="{00000000-0005-0000-0000-000054000000}"/>
    <cellStyle name="Total 2 8" xfId="84" xr:uid="{00000000-0005-0000-0000-000055000000}"/>
    <cellStyle name="Total 2 8 2" xfId="85" xr:uid="{00000000-0005-0000-0000-000056000000}"/>
    <cellStyle name="Total 3" xfId="86" xr:uid="{00000000-0005-0000-0000-000057000000}"/>
    <cellStyle name="Total 3 2" xfId="87" xr:uid="{00000000-0005-0000-0000-000058000000}"/>
    <cellStyle name="Total 3 2 2" xfId="88" xr:uid="{00000000-0005-0000-0000-000059000000}"/>
    <cellStyle name="Total 3 2 2 2" xfId="89" xr:uid="{00000000-0005-0000-0000-00005A000000}"/>
    <cellStyle name="Total 3 2 3" xfId="90" xr:uid="{00000000-0005-0000-0000-00005B000000}"/>
    <cellStyle name="Total 3 3" xfId="91" xr:uid="{00000000-0005-0000-0000-00005C000000}"/>
    <cellStyle name="Total 3 3 2" xfId="92" xr:uid="{00000000-0005-0000-0000-00005D000000}"/>
    <cellStyle name="Total 3 4" xfId="93" xr:uid="{00000000-0005-0000-0000-00005E000000}"/>
    <cellStyle name="Total 3 4 2" xfId="94" xr:uid="{00000000-0005-0000-0000-00005F000000}"/>
    <cellStyle name="Total 3 5" xfId="95" xr:uid="{00000000-0005-0000-0000-000060000000}"/>
    <cellStyle name="Total 3 5 2" xfId="96" xr:uid="{00000000-0005-0000-0000-000061000000}"/>
    <cellStyle name="Total 3 6" xfId="97" xr:uid="{00000000-0005-0000-0000-000062000000}"/>
    <cellStyle name="Total 3 6 2" xfId="98" xr:uid="{00000000-0005-0000-0000-000063000000}"/>
    <cellStyle name="Total 3 7" xfId="99" xr:uid="{00000000-0005-0000-0000-000064000000}"/>
    <cellStyle name="Total 3 7 2" xfId="100" xr:uid="{00000000-0005-0000-0000-000065000000}"/>
    <cellStyle name="Total 3 8" xfId="101" xr:uid="{00000000-0005-0000-0000-000066000000}"/>
    <cellStyle name="Total 3 8 2" xfId="102" xr:uid="{00000000-0005-0000-0000-000067000000}"/>
    <cellStyle name="Total 4" xfId="103" xr:uid="{00000000-0005-0000-0000-000068000000}"/>
    <cellStyle name="Total 4 2" xfId="104" xr:uid="{00000000-0005-0000-0000-000069000000}"/>
    <cellStyle name="Total 4 2 2" xfId="105" xr:uid="{00000000-0005-0000-0000-00006A000000}"/>
    <cellStyle name="Total 4 2 2 2" xfId="106" xr:uid="{00000000-0005-0000-0000-00006B000000}"/>
    <cellStyle name="Total 4 2 3" xfId="107" xr:uid="{00000000-0005-0000-0000-00006C000000}"/>
    <cellStyle name="Total 4 3" xfId="108" xr:uid="{00000000-0005-0000-0000-00006D000000}"/>
    <cellStyle name="Total 4 3 2" xfId="109" xr:uid="{00000000-0005-0000-0000-00006E000000}"/>
    <cellStyle name="Total 4 4" xfId="110" xr:uid="{00000000-0005-0000-0000-00006F000000}"/>
    <cellStyle name="Total 4 4 2" xfId="111" xr:uid="{00000000-0005-0000-0000-000070000000}"/>
    <cellStyle name="Total 4 5" xfId="112" xr:uid="{00000000-0005-0000-0000-000071000000}"/>
    <cellStyle name="Total 4 5 2" xfId="113" xr:uid="{00000000-0005-0000-0000-000072000000}"/>
    <cellStyle name="Total 4 6" xfId="114" xr:uid="{00000000-0005-0000-0000-000073000000}"/>
    <cellStyle name="Total 4 6 2" xfId="115" xr:uid="{00000000-0005-0000-0000-000074000000}"/>
    <cellStyle name="Total 4 7" xfId="116" xr:uid="{00000000-0005-0000-0000-000075000000}"/>
    <cellStyle name="Total 4 7 2" xfId="117" xr:uid="{00000000-0005-0000-0000-000076000000}"/>
    <cellStyle name="Total 4 8" xfId="118" xr:uid="{00000000-0005-0000-0000-000077000000}"/>
    <cellStyle name="Total 4 8 2" xfId="119" xr:uid="{00000000-0005-0000-0000-000078000000}"/>
    <cellStyle name="Total 5" xfId="120" xr:uid="{00000000-0005-0000-0000-000079000000}"/>
    <cellStyle name="Total 5 2" xfId="121" xr:uid="{00000000-0005-0000-0000-00007A000000}"/>
    <cellStyle name="Total 5 2 2" xfId="122" xr:uid="{00000000-0005-0000-0000-00007B000000}"/>
    <cellStyle name="Total 5 3" xfId="123" xr:uid="{00000000-0005-0000-0000-00007C000000}"/>
    <cellStyle name="Total 6" xfId="124" xr:uid="{00000000-0005-0000-0000-00007D000000}"/>
  </cellStyles>
  <dxfs count="0"/>
  <tableStyles count="0" defaultTableStyle="TableStyleMedium2" defaultPivotStyle="PivotStyleLight16"/>
  <colors>
    <mruColors>
      <color rgb="FFFCED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7620</xdr:colOff>
      <xdr:row>0</xdr:row>
      <xdr:rowOff>15240</xdr:rowOff>
    </xdr:from>
    <xdr:to>
      <xdr:col>9</xdr:col>
      <xdr:colOff>571500</xdr:colOff>
      <xdr:row>46</xdr:row>
      <xdr:rowOff>152400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620" y="15240"/>
          <a:ext cx="6478905" cy="8900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0"/>
            </a:spcAft>
          </a:pPr>
          <a:r>
            <a:rPr lang="en-US" sz="1100" b="1" cap="all">
              <a:effectLst/>
              <a:latin typeface="Times New Roman"/>
              <a:ea typeface="Times New Roman"/>
              <a:cs typeface="Arial"/>
            </a:rPr>
            <a:t> </a:t>
          </a:r>
        </a:p>
        <a:p>
          <a:pPr marL="0" marR="0" algn="ctr">
            <a:spcBef>
              <a:spcPts val="0"/>
            </a:spcBef>
            <a:spcAft>
              <a:spcPts val="0"/>
            </a:spcAft>
          </a:pPr>
          <a:r>
            <a:rPr lang="en-US" sz="1100" b="1" cap="all">
              <a:effectLst/>
              <a:latin typeface="Times New Roman"/>
              <a:ea typeface="Times New Roman"/>
              <a:cs typeface="Arial"/>
            </a:rPr>
            <a:t> </a:t>
          </a:r>
        </a:p>
        <a:p>
          <a:pPr marL="0" marR="0" algn="ctr">
            <a:spcBef>
              <a:spcPts val="0"/>
            </a:spcBef>
            <a:spcAft>
              <a:spcPts val="0"/>
            </a:spcAft>
          </a:pPr>
          <a:r>
            <a:rPr lang="en-US" sz="1100" b="1" cap="all">
              <a:effectLst/>
              <a:latin typeface="Times New Roman"/>
              <a:ea typeface="Times New Roman"/>
              <a:cs typeface="Arial"/>
            </a:rPr>
            <a:t> </a:t>
          </a:r>
        </a:p>
        <a:p>
          <a:pPr marL="0" marR="0" algn="ctr">
            <a:spcBef>
              <a:spcPts val="0"/>
            </a:spcBef>
            <a:spcAft>
              <a:spcPts val="0"/>
            </a:spcAft>
          </a:pPr>
          <a:r>
            <a:rPr lang="en-US" sz="1100" b="1" cap="all">
              <a:effectLst/>
              <a:latin typeface="Times New Roman"/>
              <a:ea typeface="Times New Roman"/>
              <a:cs typeface="Arial"/>
            </a:rPr>
            <a:t> </a:t>
          </a:r>
        </a:p>
        <a:p>
          <a:pPr marL="0" marR="0" algn="ctr">
            <a:spcBef>
              <a:spcPts val="0"/>
            </a:spcBef>
            <a:spcAft>
              <a:spcPts val="0"/>
            </a:spcAft>
          </a:pPr>
          <a:r>
            <a:rPr lang="en-US" sz="1100" b="1" cap="all">
              <a:effectLst/>
              <a:latin typeface="Times New Roman"/>
              <a:ea typeface="Times New Roman"/>
              <a:cs typeface="Arial"/>
            </a:rPr>
            <a:t> </a:t>
          </a:r>
        </a:p>
        <a:p>
          <a:pPr marL="0" marR="0" algn="ctr">
            <a:spcBef>
              <a:spcPts val="0"/>
            </a:spcBef>
            <a:spcAft>
              <a:spcPts val="0"/>
            </a:spcAft>
          </a:pPr>
          <a:r>
            <a:rPr lang="en-US" sz="1100" b="1" cap="all">
              <a:effectLst/>
              <a:latin typeface="Times New Roman"/>
              <a:ea typeface="Times New Roman"/>
              <a:cs typeface="Arial"/>
            </a:rPr>
            <a:t> </a:t>
          </a:r>
        </a:p>
        <a:p>
          <a:pPr marL="0" marR="0" algn="ctr">
            <a:spcBef>
              <a:spcPts val="0"/>
            </a:spcBef>
            <a:spcAft>
              <a:spcPts val="0"/>
            </a:spcAft>
          </a:pPr>
          <a:r>
            <a:rPr lang="en-US" sz="1100" b="1" cap="all">
              <a:effectLst/>
              <a:latin typeface="Times New Roman"/>
              <a:ea typeface="Times New Roman"/>
              <a:cs typeface="Arial"/>
            </a:rPr>
            <a:t> </a:t>
          </a:r>
        </a:p>
        <a:p>
          <a:endParaRPr lang="en-US">
            <a:effectLst/>
            <a:latin typeface="Microsoft YaHei"/>
          </a:endParaRPr>
        </a:p>
        <a:p>
          <a:endParaRPr lang="en-US">
            <a:effectLst/>
            <a:latin typeface="Microsoft YaHei"/>
          </a:endParaRPr>
        </a:p>
        <a:p>
          <a:endParaRPr lang="en-US">
            <a:effectLst/>
            <a:latin typeface="Microsoft YaHei"/>
          </a:endParaRPr>
        </a:p>
        <a:p>
          <a:endParaRPr lang="en-US">
            <a:effectLst/>
            <a:latin typeface="Microsoft YaHei"/>
          </a:endParaRPr>
        </a:p>
        <a:p>
          <a:endParaRPr lang="en-US">
            <a:effectLst/>
            <a:latin typeface="Microsoft YaHei"/>
          </a:endParaRPr>
        </a:p>
        <a:p>
          <a:endParaRPr lang="en-US">
            <a:effectLst/>
            <a:latin typeface="Microsoft YaHei"/>
          </a:endParaRPr>
        </a:p>
        <a:p>
          <a:endParaRPr lang="en-US">
            <a:effectLst/>
            <a:latin typeface="Microsoft YaHei"/>
          </a:endParaRPr>
        </a:p>
        <a:p>
          <a:endParaRPr lang="en-US">
            <a:effectLst/>
            <a:latin typeface="Microsoft YaHei"/>
          </a:endParaRPr>
        </a:p>
        <a:p>
          <a:pPr algn="ctr"/>
          <a:endParaRPr lang="en-US" sz="2400" b="1">
            <a:effectLst/>
            <a:latin typeface="Microsoft YaHei" panose="020B0503020204020204" pitchFamily="34" charset="-122"/>
            <a:ea typeface="Microsoft YaHei" panose="020B0503020204020204" pitchFamily="34" charset="-122"/>
          </a:endParaRPr>
        </a:p>
        <a:p>
          <a:pPr algn="ctr"/>
          <a:endParaRPr lang="en-US" sz="2400" b="1">
            <a:effectLst/>
            <a:latin typeface="Microsoft YaHei" panose="020B0503020204020204" pitchFamily="34" charset="-122"/>
            <a:ea typeface="Microsoft YaHei" panose="020B0503020204020204" pitchFamily="34" charset="-122"/>
          </a:endParaRPr>
        </a:p>
        <a:p>
          <a:pPr algn="ctr"/>
          <a:r>
            <a:rPr lang="en-US" sz="2400" b="1">
              <a:effectLst/>
              <a:latin typeface="Microsoft YaHei" panose="020B0503020204020204" pitchFamily="34" charset="-122"/>
              <a:ea typeface="Microsoft YaHei" panose="020B0503020204020204" pitchFamily="34" charset="-122"/>
            </a:rPr>
            <a:t>Appendix J</a:t>
          </a:r>
        </a:p>
        <a:p>
          <a:pPr marL="0" marR="0" algn="ctr">
            <a:spcBef>
              <a:spcPts val="0"/>
            </a:spcBef>
            <a:spcAft>
              <a:spcPts val="0"/>
            </a:spcAft>
          </a:pPr>
          <a:r>
            <a:rPr lang="en-US" sz="1100" b="1" cap="all">
              <a:effectLst/>
              <a:latin typeface="+mn-lt"/>
              <a:ea typeface="Times New Roman"/>
              <a:cs typeface="Arial"/>
            </a:rPr>
            <a:t> </a:t>
          </a:r>
          <a:endParaRPr lang="en-US" sz="1100" b="1" cap="all">
            <a:effectLst/>
            <a:latin typeface="Times New Roman"/>
            <a:ea typeface="Times New Roman"/>
            <a:cs typeface="Arial"/>
          </a:endParaRPr>
        </a:p>
        <a:p>
          <a:pPr marL="0" marR="0" algn="ctr">
            <a:spcBef>
              <a:spcPts val="0"/>
            </a:spcBef>
            <a:spcAft>
              <a:spcPts val="1200"/>
            </a:spcAft>
          </a:pPr>
          <a:r>
            <a:rPr lang="en-US" sz="2400" b="1">
              <a:effectLst/>
              <a:latin typeface="+mn-lt"/>
              <a:ea typeface="Times New Roman"/>
              <a:cs typeface="Arial"/>
            </a:rPr>
            <a:t>Descriptive Statistics for Planning Period</a:t>
          </a:r>
          <a:r>
            <a:rPr lang="en-US" sz="2400" b="1" baseline="0">
              <a:effectLst/>
              <a:latin typeface="+mn-lt"/>
              <a:ea typeface="Times New Roman"/>
              <a:cs typeface="Arial"/>
            </a:rPr>
            <a:t> I Determination Costs </a:t>
          </a:r>
          <a:r>
            <a:rPr lang="en-US" sz="800">
              <a:effectLst/>
              <a:latin typeface="+mn-lt"/>
              <a:ea typeface="Calibri"/>
              <a:cs typeface="Times New Roman"/>
            </a:rPr>
            <a:t> </a:t>
          </a:r>
        </a:p>
        <a:p>
          <a:pPr marL="0" marR="0">
            <a:lnSpc>
              <a:spcPct val="115000"/>
            </a:lnSpc>
            <a:spcBef>
              <a:spcPts val="0"/>
            </a:spcBef>
            <a:spcAft>
              <a:spcPts val="1000"/>
            </a:spcAft>
          </a:pPr>
          <a:r>
            <a:rPr lang="en-US" sz="800">
              <a:effectLst/>
              <a:latin typeface="+mn-lt"/>
              <a:ea typeface="Calibri"/>
              <a:cs typeface="Times New Roman"/>
            </a:rPr>
            <a:t> </a:t>
          </a:r>
        </a:p>
        <a:p>
          <a:pPr marL="0" marR="0">
            <a:lnSpc>
              <a:spcPct val="115000"/>
            </a:lnSpc>
            <a:spcBef>
              <a:spcPts val="0"/>
            </a:spcBef>
            <a:spcAft>
              <a:spcPts val="1000"/>
            </a:spcAft>
          </a:pPr>
          <a:r>
            <a:rPr lang="en-US" sz="800">
              <a:effectLst/>
              <a:latin typeface="+mn-lt"/>
              <a:ea typeface="Calibri"/>
              <a:cs typeface="Times New Roman"/>
            </a:rPr>
            <a:t> </a:t>
          </a:r>
        </a:p>
        <a:p>
          <a:pPr marL="0" marR="0">
            <a:lnSpc>
              <a:spcPct val="115000"/>
            </a:lnSpc>
            <a:spcBef>
              <a:spcPts val="0"/>
            </a:spcBef>
            <a:spcAft>
              <a:spcPts val="1000"/>
            </a:spcAft>
          </a:pPr>
          <a:r>
            <a:rPr lang="en-US" sz="800">
              <a:effectLst/>
              <a:latin typeface="+mn-lt"/>
              <a:ea typeface="Calibri"/>
              <a:cs typeface="Times New Roman"/>
            </a:rPr>
            <a:t> </a:t>
          </a:r>
        </a:p>
        <a:p>
          <a:pPr marL="0" marR="0">
            <a:lnSpc>
              <a:spcPct val="115000"/>
            </a:lnSpc>
            <a:spcBef>
              <a:spcPts val="0"/>
            </a:spcBef>
            <a:spcAft>
              <a:spcPts val="1000"/>
            </a:spcAft>
          </a:pPr>
          <a:r>
            <a:rPr lang="en-US" sz="800">
              <a:effectLst/>
              <a:latin typeface="+mn-lt"/>
              <a:ea typeface="Calibri"/>
              <a:cs typeface="Times New Roman"/>
            </a:rPr>
            <a:t> </a:t>
          </a:r>
          <a:endParaRPr lang="en-US" sz="1200">
            <a:effectLst/>
            <a:latin typeface="Times New Roman" panose="02020603050405020304" pitchFamily="18" charset="0"/>
            <a:ea typeface="Calibri"/>
            <a:cs typeface="Times New Roman" panose="02020603050405020304" pitchFamily="18" charset="0"/>
          </a:endParaRPr>
        </a:p>
        <a:p>
          <a:pPr marL="0" marR="0" algn="ctr">
            <a:lnSpc>
              <a:spcPct val="115000"/>
            </a:lnSpc>
            <a:spcBef>
              <a:spcPts val="0"/>
            </a:spcBef>
            <a:spcAft>
              <a:spcPts val="1000"/>
            </a:spcAft>
          </a:pPr>
          <a:r>
            <a:rPr lang="en-US" sz="1200">
              <a:effectLst/>
              <a:latin typeface="Times New Roman" panose="02020603050405020304" pitchFamily="18" charset="0"/>
              <a:ea typeface="Calibri"/>
              <a:cs typeface="Times New Roman" panose="02020603050405020304" pitchFamily="18" charset="0"/>
            </a:rPr>
            <a:t>Division of Environmental Quality</a:t>
          </a:r>
        </a:p>
        <a:p>
          <a:pPr marL="0" marR="0" algn="ctr">
            <a:lnSpc>
              <a:spcPct val="115000"/>
            </a:lnSpc>
            <a:spcBef>
              <a:spcPts val="0"/>
            </a:spcBef>
            <a:spcAft>
              <a:spcPts val="1000"/>
            </a:spcAft>
          </a:pPr>
          <a:r>
            <a:rPr lang="en-US" sz="1200">
              <a:effectLst/>
              <a:latin typeface="Times New Roman" panose="02020603050405020304" pitchFamily="18" charset="0"/>
              <a:ea typeface="Calibri"/>
              <a:cs typeface="Times New Roman" panose="02020603050405020304" pitchFamily="18" charset="0"/>
            </a:rPr>
            <a:t>Office of Air Quality</a:t>
          </a:r>
        </a:p>
        <a:p>
          <a:endParaRPr lang="en-US" sz="1100"/>
        </a:p>
      </xdr:txBody>
    </xdr:sp>
    <xdr:clientData/>
  </xdr:twoCellAnchor>
  <xdr:twoCellAnchor editAs="oneCell">
    <xdr:from>
      <xdr:col>2</xdr:col>
      <xdr:colOff>108585</xdr:colOff>
      <xdr:row>6</xdr:row>
      <xdr:rowOff>22860</xdr:rowOff>
    </xdr:from>
    <xdr:to>
      <xdr:col>7</xdr:col>
      <xdr:colOff>521335</xdr:colOff>
      <xdr:row>15</xdr:row>
      <xdr:rowOff>99060</xdr:rowOff>
    </xdr:to>
    <xdr:pic>
      <xdr:nvPicPr>
        <xdr:cNvPr id="3" name="Picture 2" descr="EQ_Vertical_color">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2775"/>
        <a:stretch/>
      </xdr:blipFill>
      <xdr:spPr bwMode="auto">
        <a:xfrm>
          <a:off x="1423035" y="1165860"/>
          <a:ext cx="3698875" cy="17907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1</xdr:row>
      <xdr:rowOff>15240</xdr:rowOff>
    </xdr:from>
    <xdr:to>
      <xdr:col>9</xdr:col>
      <xdr:colOff>601980</xdr:colOff>
      <xdr:row>21</xdr:row>
      <xdr:rowOff>104775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0480" y="196215"/>
          <a:ext cx="5886450" cy="3861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EPA guidance recommends that DEQ evaluate costs in terms of cost per ton of emissions reduced. This metric allows the state to perform an “apples-to-apples” comparison of different control options at the same source and across different sources. EPA guidance also suggests that “when the cost/ton of a possible measure is within the range of the cost/ton values that have been incurred multiple times by sources of similar type to meet regional haze requirements or any other [Clean Air Act] requirement, this weighs in favor of concluding that the cost of compliance is not an obstacle to the measure being considered necessary to make reasonable progress.”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Based on this guidance, DEQ has compared the cost of compliance in dollars per ton for the strategies evaluated for Arkansas sources for Planning Period II to the costs of control determinations for BART and reasonable progress for Planning Period I. To ensure an apples-to-apples comparison, DEQ escalated the cost/ton values of each determination to 2019 dollars using the Chemical Engineering Plant Cost Index </a:t>
          </a:r>
          <a:r>
            <a:rPr lang="en-US" sz="1100" b="1" u="sng">
              <a:solidFill>
                <a:schemeClr val="dk1"/>
              </a:solidFill>
              <a:effectLst/>
              <a:latin typeface="+mn-lt"/>
              <a:ea typeface="+mn-ea"/>
              <a:cs typeface="+mn-cs"/>
            </a:rPr>
            <a:t>(See CEPCI Index</a:t>
          </a:r>
          <a:r>
            <a:rPr lang="en-US" sz="1100" b="1" u="sng" baseline="0">
              <a:solidFill>
                <a:schemeClr val="dk1"/>
              </a:solidFill>
              <a:effectLst/>
              <a:latin typeface="+mn-lt"/>
              <a:ea typeface="+mn-ea"/>
              <a:cs typeface="+mn-cs"/>
            </a:rPr>
            <a:t> Tab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DEQ did not include any BART-alternatives in this analysis because many BART alternatives were either trading programs or selected on the basis that an operations change suggested by a facility had greater visibility benefit than what would be achieved by BART rather than on a technology-specific cost-basis. The</a:t>
          </a:r>
          <a:r>
            <a:rPr lang="en-US" sz="1100" baseline="0">
              <a:solidFill>
                <a:schemeClr val="dk1"/>
              </a:solidFill>
              <a:effectLst/>
              <a:latin typeface="+mn-lt"/>
              <a:ea typeface="+mn-ea"/>
              <a:cs typeface="+mn-cs"/>
            </a:rPr>
            <a:t> </a:t>
          </a:r>
          <a:r>
            <a:rPr lang="en-US" sz="1100" b="1" u="sng" baseline="0">
              <a:solidFill>
                <a:schemeClr val="dk1"/>
              </a:solidFill>
              <a:effectLst/>
              <a:latin typeface="+mn-lt"/>
              <a:ea typeface="+mn-ea"/>
              <a:cs typeface="+mn-cs"/>
            </a:rPr>
            <a:t>BART and RP Determination Costs </a:t>
          </a:r>
          <a:r>
            <a:rPr lang="en-US" sz="1100" baseline="0">
              <a:solidFill>
                <a:schemeClr val="dk1"/>
              </a:solidFill>
              <a:effectLst/>
              <a:latin typeface="+mn-lt"/>
              <a:ea typeface="+mn-ea"/>
              <a:cs typeface="+mn-cs"/>
            </a:rPr>
            <a:t>tab lists each of the cost determinations. Other states were provided with the opportunity to review and provide corrections, if determined necessary.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a:t>
          </a:r>
          <a:r>
            <a:rPr lang="en-US" sz="1100" b="1" u="sng" baseline="0">
              <a:solidFill>
                <a:schemeClr val="dk1"/>
              </a:solidFill>
              <a:effectLst/>
              <a:latin typeface="+mn-lt"/>
              <a:ea typeface="+mn-ea"/>
              <a:cs typeface="+mn-cs"/>
            </a:rPr>
            <a:t>Descriptive Stats PP1 </a:t>
          </a:r>
          <a:r>
            <a:rPr lang="en-US" sz="1100" baseline="0">
              <a:solidFill>
                <a:schemeClr val="dk1"/>
              </a:solidFill>
              <a:effectLst/>
              <a:latin typeface="+mn-lt"/>
              <a:ea typeface="+mn-ea"/>
              <a:cs typeface="+mn-cs"/>
            </a:rPr>
            <a:t>tab </a:t>
          </a:r>
          <a:r>
            <a:rPr lang="en-US" sz="1100">
              <a:solidFill>
                <a:schemeClr val="dk1"/>
              </a:solidFill>
              <a:effectLst/>
              <a:latin typeface="+mn-lt"/>
              <a:ea typeface="+mn-ea"/>
              <a:cs typeface="+mn-cs"/>
            </a:rPr>
            <a:t>provides summary statistics for Planning Period II cost/ton by emission unit type.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121920</xdr:colOff>
      <xdr:row>6</xdr:row>
      <xdr:rowOff>73994</xdr:rowOff>
    </xdr:from>
    <xdr:ext cx="7566660" cy="2716831"/>
    <xdr:pic>
      <xdr:nvPicPr>
        <xdr:cNvPr id="2" name="Picture 1">
          <a:extLst>
            <a:ext uri="{FF2B5EF4-FFF2-40B4-BE49-F238E27FC236}">
              <a16:creationId xmlns:a16="http://schemas.microsoft.com/office/drawing/2014/main" id="{2454F94B-3A1E-4479-9926-D32AB5AA2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 y="1045544"/>
          <a:ext cx="7566660" cy="271683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4</xdr:row>
      <xdr:rowOff>0</xdr:rowOff>
    </xdr:from>
    <xdr:ext cx="7155180" cy="5034915"/>
    <xdr:pic>
      <xdr:nvPicPr>
        <xdr:cNvPr id="2" name="Picture 1">
          <a:extLst>
            <a:ext uri="{FF2B5EF4-FFF2-40B4-BE49-F238E27FC236}">
              <a16:creationId xmlns:a16="http://schemas.microsoft.com/office/drawing/2014/main" id="{6CFD21BF-3A90-4C93-B847-B4B7C2640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7155180" cy="50349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https://www.federalregister.gov/documents/2012/08/23/2012-20503/approval-and-promulgation-of-air-quality-implementation-plans-nevada-regional-haze-state-and-federal" TargetMode="External"/><Relationship Id="rId21" Type="http://schemas.openxmlformats.org/officeDocument/2006/relationships/hyperlink" Target="https://www.federalregister.gov/documents/2012/04/06/2012-6586/approval-and-promulgation-of-implementation-plans-north-dakota-regional-haze-state-implementation" TargetMode="External"/><Relationship Id="rId34" Type="http://schemas.openxmlformats.org/officeDocument/2006/relationships/hyperlink" Target="https://www.federalregister.gov/articles/2011/06/22/2011-15452/approval-and-promulgation-of-implementation-plans-state-of-idaho-regional-haze-state-implementation" TargetMode="External"/><Relationship Id="rId42" Type="http://schemas.openxmlformats.org/officeDocument/2006/relationships/hyperlink" Target="https://www.federalregister.gov/documents/2011/12/28/2011-32572/approval-and-promulgation-of-implementation-plans-oklahoma-federal-implementation-plan-for" TargetMode="External"/><Relationship Id="rId47" Type="http://schemas.openxmlformats.org/officeDocument/2006/relationships/hyperlink" Target="https://www.federalregister.gov/documents/2011/12/28/2011-32572/approval-and-promulgation-of-implementation-plans-oklahoma-federal-implementation-plan-for" TargetMode="External"/><Relationship Id="rId50" Type="http://schemas.openxmlformats.org/officeDocument/2006/relationships/hyperlink" Target="https://www.federalregister.gov/documents/2012/04/26/2012-8988/approval-and-promulgation-of-implementation-plans-south-dakota-regional-haze-state-implementation" TargetMode="External"/><Relationship Id="rId55" Type="http://schemas.openxmlformats.org/officeDocument/2006/relationships/hyperlink" Target="https://www.govinfo.gov/content/pkg/FR-2014-01-30/pdf/2014-00930.pdf" TargetMode="External"/><Relationship Id="rId63" Type="http://schemas.openxmlformats.org/officeDocument/2006/relationships/hyperlink" Target="https://www.regulations.gov/document?D=EPA-R01-OAR-2010-1043-0003" TargetMode="External"/><Relationship Id="rId68" Type="http://schemas.openxmlformats.org/officeDocument/2006/relationships/printerSettings" Target="../printerSettings/printerSettings3.bin"/><Relationship Id="rId7" Type="http://schemas.openxmlformats.org/officeDocument/2006/relationships/hyperlink" Target="https://beta.regulations.gov/docket/EPA-R08-OAR-2011-0770/document" TargetMode="External"/><Relationship Id="rId2" Type="http://schemas.openxmlformats.org/officeDocument/2006/relationships/hyperlink" Target="https://www.regulations.gov/document?D=EPA-R04-OAR-2009-0782-0016" TargetMode="External"/><Relationship Id="rId16" Type="http://schemas.openxmlformats.org/officeDocument/2006/relationships/hyperlink" Target="https://www.federalregister.gov/documents/2016/01/05/2015-31904/approval-and-promulgation-of-implementation-plans-texas-and-oklahoma-regional-haze-state" TargetMode="External"/><Relationship Id="rId29" Type="http://schemas.openxmlformats.org/officeDocument/2006/relationships/hyperlink" Target="https://www.federalregister.gov/documents/2012/04/20/2012-8367/approval-and-promulgation-of-implementation-plans-state-of-montana-state-implementation-plan-and" TargetMode="External"/><Relationship Id="rId11" Type="http://schemas.openxmlformats.org/officeDocument/2006/relationships/hyperlink" Target="https://www.govinfo.gov/content/pkg/FR-2012-08-07/pdf/2012-19137.pdf" TargetMode="External"/><Relationship Id="rId24" Type="http://schemas.openxmlformats.org/officeDocument/2006/relationships/hyperlink" Target="https://www.federalregister.gov/documents/2012/08/23/2012-20503/approval-and-promulgation-of-air-quality-implementation-plans-nevada-regional-haze-state-and-federal" TargetMode="External"/><Relationship Id="rId32" Type="http://schemas.openxmlformats.org/officeDocument/2006/relationships/hyperlink" Target="https://www.federalregister.gov/documents/2013/02/06/2013-01473/approval-and-promulgation-of-air-quality-implementation-plans-states-of-minnesota-and-michigan" TargetMode="External"/><Relationship Id="rId37" Type="http://schemas.openxmlformats.org/officeDocument/2006/relationships/hyperlink" Target="https://www.federalregister.gov/documents/2012/04/06/2012-6586/approval-and-promulgation-of-implementation-plans-north-dakota-regional-haze-state-implementation" TargetMode="External"/><Relationship Id="rId40" Type="http://schemas.openxmlformats.org/officeDocument/2006/relationships/hyperlink" Target="https://www.federalregister.gov/documents/2012/08/22/2012-20271/approval-and-promulgation-of-air-quality-implementation-plans-new-hampshire-regional-haze" TargetMode="External"/><Relationship Id="rId45" Type="http://schemas.openxmlformats.org/officeDocument/2006/relationships/hyperlink" Target="https://www.federalregister.gov/documents/2011/12/28/2011-32572/approval-and-promulgation-of-implementation-plans-oklahoma-federal-implementation-plan-for" TargetMode="External"/><Relationship Id="rId53" Type="http://schemas.openxmlformats.org/officeDocument/2006/relationships/hyperlink" Target="https://www.federalregister.gov/documents/2014/01/30/2014-00930/approval-disapproval-and-promulgation-of-implementation-plans-state-of-wyoming-regional-haze-state" TargetMode="External"/><Relationship Id="rId58" Type="http://schemas.openxmlformats.org/officeDocument/2006/relationships/hyperlink" Target="https://www.federalregister.gov/documents/2011/12/28/2011-32572/approval-and-promulgation-of-implementation-plans-oklahoma-federal-implementation-plan-for" TargetMode="External"/><Relationship Id="rId66" Type="http://schemas.openxmlformats.org/officeDocument/2006/relationships/hyperlink" Target="https://www.govinfo.gov/content/pkg/FR-2011-12-16/pdf/2011-32272.pdf" TargetMode="External"/><Relationship Id="rId5" Type="http://schemas.openxmlformats.org/officeDocument/2006/relationships/hyperlink" Target="https://www.regulations.gov/document?D=EPA-R04-OAR-2009-0782-0016" TargetMode="External"/><Relationship Id="rId61" Type="http://schemas.openxmlformats.org/officeDocument/2006/relationships/hyperlink" Target="https://www.federalregister.gov/articles/2012/06/28/2012-15691/approval-and-promulgation-of-implementation-plans-state-of-georgia-regional-haze-state" TargetMode="External"/><Relationship Id="rId19" Type="http://schemas.openxmlformats.org/officeDocument/2006/relationships/hyperlink" Target="https://www.federalregister.gov/documents/2012/04/06/2012-6586/approval-and-promulgation-of-implementation-plans-north-dakota-regional-haze-state-implementation" TargetMode="External"/><Relationship Id="rId14" Type="http://schemas.openxmlformats.org/officeDocument/2006/relationships/hyperlink" Target="https://www.regulations.gov/contentStreamer?documentId=EPA-R08-OAR-2015-0463-0182&amp;contentType=pdf" TargetMode="External"/><Relationship Id="rId22" Type="http://schemas.openxmlformats.org/officeDocument/2006/relationships/hyperlink" Target="https://www.federalregister.gov/documents/2012/08/28/2012-21056/approval-and-promulgation-of-air-quality-implementation-plans-state-of-new-york-regional-haze-state" TargetMode="External"/><Relationship Id="rId27" Type="http://schemas.openxmlformats.org/officeDocument/2006/relationships/hyperlink" Target="https://www.federalregister.gov/documents/2012/03/02/2012-4991/approval-disapproval-and-promulgation-of-implementation-plans-nebraska-regional-haze-state" TargetMode="External"/><Relationship Id="rId30" Type="http://schemas.openxmlformats.org/officeDocument/2006/relationships/hyperlink" Target="https://www.federalregister.gov/documents/2012/04/20/2012-8367/approval-and-promulgation-of-implementation-plans-state-of-montana-state-implementation-plan-and" TargetMode="External"/><Relationship Id="rId35" Type="http://schemas.openxmlformats.org/officeDocument/2006/relationships/hyperlink" Target="https://www.federalregister.gov/articles/2011/06/22/2011-15452/approval-and-promulgation-of-implementation-plans-state-of-idaho-regional-haze-state-implementation" TargetMode="External"/><Relationship Id="rId43" Type="http://schemas.openxmlformats.org/officeDocument/2006/relationships/hyperlink" Target="https://www.federalregister.gov/documents/2011/12/28/2011-32572/approval-and-promulgation-of-implementation-plans-oklahoma-federal-implementation-plan-for" TargetMode="External"/><Relationship Id="rId48" Type="http://schemas.openxmlformats.org/officeDocument/2006/relationships/hyperlink" Target="https://www.federalregister.gov/documents/2011/12/28/2011-32572/approval-and-promulgation-of-implementation-plans-oklahoma-federal-implementation-plan-for" TargetMode="External"/><Relationship Id="rId56" Type="http://schemas.openxmlformats.org/officeDocument/2006/relationships/hyperlink" Target="https://www.regulations.gov/docket?D=EPA-R10-OAR-2011-0367" TargetMode="External"/><Relationship Id="rId64" Type="http://schemas.openxmlformats.org/officeDocument/2006/relationships/hyperlink" Target="https://beta.regulations.gov/docket/EPA-R08-OAR-2011-0770/document" TargetMode="External"/><Relationship Id="rId8" Type="http://schemas.openxmlformats.org/officeDocument/2006/relationships/hyperlink" Target="https://beta.regulations.gov/docket/EPA-R08-OAR-2011-0770/document" TargetMode="External"/><Relationship Id="rId51" Type="http://schemas.openxmlformats.org/officeDocument/2006/relationships/hyperlink" Target="https://www.federalregister.gov/documents/2012/05/23/2012-12504/approval-and-promulgation-of-implementation-plans-state-of-washington-regional-haze-state" TargetMode="External"/><Relationship Id="rId3" Type="http://schemas.openxmlformats.org/officeDocument/2006/relationships/hyperlink" Target="https://www.regulations.gov/document?D=EPA-R04-OAR-2009-0782-0016" TargetMode="External"/><Relationship Id="rId12" Type="http://schemas.openxmlformats.org/officeDocument/2006/relationships/hyperlink" Target="https://www.regulations.gov/contentStreamer?documentId=EPA-R08-OAR-2015-0463-0182&amp;contentType=pdf" TargetMode="External"/><Relationship Id="rId17" Type="http://schemas.openxmlformats.org/officeDocument/2006/relationships/hyperlink" Target="https://www.federalregister.gov/documents/2016/01/05/2015-31904/approval-and-promulgation-of-implementation-plans-texas-and-oklahoma-regional-haze-state" TargetMode="External"/><Relationship Id="rId25" Type="http://schemas.openxmlformats.org/officeDocument/2006/relationships/hyperlink" Target="https://www.federalregister.gov/documents/2012/08/23/2012-20503/approval-and-promulgation-of-air-quality-implementation-plans-nevada-regional-haze-state-and-federal" TargetMode="External"/><Relationship Id="rId33" Type="http://schemas.openxmlformats.org/officeDocument/2006/relationships/hyperlink" Target="https://www.federalregister.gov/articles/2012/12/03/2012-29014/approval-and-promulgation-of-air-quality-implementation-plans-michigan-regional-haze-state" TargetMode="External"/><Relationship Id="rId38" Type="http://schemas.openxmlformats.org/officeDocument/2006/relationships/hyperlink" Target="https://www.federalregister.gov/documents/2012/04/06/2012-6586/approval-and-promulgation-of-implementation-plans-north-dakota-regional-haze-state-implementation" TargetMode="External"/><Relationship Id="rId46" Type="http://schemas.openxmlformats.org/officeDocument/2006/relationships/hyperlink" Target="https://www.federalregister.gov/documents/2011/12/28/2011-32572/approval-and-promulgation-of-implementation-plans-oklahoma-federal-implementation-plan-for" TargetMode="External"/><Relationship Id="rId59" Type="http://schemas.openxmlformats.org/officeDocument/2006/relationships/hyperlink" Target="https://dnr.wi.gov/topic/AirQuality/documents/HazeSIPBARTAttachment4.pdf" TargetMode="External"/><Relationship Id="rId67" Type="http://schemas.openxmlformats.org/officeDocument/2006/relationships/hyperlink" Target="https://www.govinfo.gov/content/pkg/FR-2011-12-16/pdf/2011-32272.pdf" TargetMode="External"/><Relationship Id="rId20" Type="http://schemas.openxmlformats.org/officeDocument/2006/relationships/hyperlink" Target="https://www.federalregister.gov/documents/2012/04/06/2012-6586/approval-and-promulgation-of-implementation-plans-north-dakota-regional-haze-state-implementation" TargetMode="External"/><Relationship Id="rId41" Type="http://schemas.openxmlformats.org/officeDocument/2006/relationships/hyperlink" Target="https://www.federalregister.gov/documents/2011/12/28/2011-32572/approval-and-promulgation-of-implementation-plans-oklahoma-federal-implementation-plan-for" TargetMode="External"/><Relationship Id="rId54" Type="http://schemas.openxmlformats.org/officeDocument/2006/relationships/hyperlink" Target="https://www.govinfo.gov/content/pkg/FR-2014-01-30/pdf/2014-00930.pdf" TargetMode="External"/><Relationship Id="rId62" Type="http://schemas.openxmlformats.org/officeDocument/2006/relationships/hyperlink" Target="https://www.regulations.gov/document?D=EPA-R01-OAR-2010-1043-0003" TargetMode="External"/><Relationship Id="rId1" Type="http://schemas.openxmlformats.org/officeDocument/2006/relationships/hyperlink" Target="https://www.federalregister.gov/articles/2012/03/30/2012-7575/approval-and-promulgation-of-implementation-plans-commonwealth-of-kentucky-regional-haze-state" TargetMode="External"/><Relationship Id="rId6" Type="http://schemas.openxmlformats.org/officeDocument/2006/relationships/hyperlink" Target="https://www.regulations.gov/document?D=EPA-R04-OAR-2009-0782-0016" TargetMode="External"/><Relationship Id="rId15" Type="http://schemas.openxmlformats.org/officeDocument/2006/relationships/hyperlink" Target="https://www.regulations.gov/contentStreamer?documentId=EPA-R08-OAR-2015-0463-0182&amp;contentType=pdf" TargetMode="External"/><Relationship Id="rId23" Type="http://schemas.openxmlformats.org/officeDocument/2006/relationships/hyperlink" Target="https://www.federalregister.gov/documents/2012/08/23/2012-20503/approval-and-promulgation-of-air-quality-implementation-plans-nevada-regional-haze-state-and-federal" TargetMode="External"/><Relationship Id="rId28" Type="http://schemas.openxmlformats.org/officeDocument/2006/relationships/hyperlink" Target="https://www.federalregister.gov/documents/2012/03/02/2012-4991/approval-disapproval-and-promulgation-of-implementation-plans-nebraska-regional-haze-state" TargetMode="External"/><Relationship Id="rId36" Type="http://schemas.openxmlformats.org/officeDocument/2006/relationships/hyperlink" Target="https://www.federalregister.gov/articles/2011/06/22/2011-15452/approval-and-promulgation-of-implementation-plans-state-of-idaho-regional-haze-state-implementation" TargetMode="External"/><Relationship Id="rId49" Type="http://schemas.openxmlformats.org/officeDocument/2006/relationships/hyperlink" Target="https://www.federalregister.gov/documents/2011/12/28/2011-32572/approval-and-promulgation-of-implementation-plans-oklahoma-federal-implementation-plan-for" TargetMode="External"/><Relationship Id="rId57" Type="http://schemas.openxmlformats.org/officeDocument/2006/relationships/hyperlink" Target="https://www.federalregister.gov/documents/2012/04/06/2012-6586/approval-and-promulgation-of-implementation-plans-north-dakota-regional-haze-state-implementation" TargetMode="External"/><Relationship Id="rId10" Type="http://schemas.openxmlformats.org/officeDocument/2006/relationships/hyperlink" Target="https://www.govinfo.gov/content/pkg/FR-2014-01-30/pdf/2014-00930.pdf" TargetMode="External"/><Relationship Id="rId31" Type="http://schemas.openxmlformats.org/officeDocument/2006/relationships/hyperlink" Target="https://www.federalregister.gov/documents/2013/02/06/2013-01473/approval-and-promulgation-of-air-quality-implementation-plans-states-of-minnesota-and-michigan" TargetMode="External"/><Relationship Id="rId44" Type="http://schemas.openxmlformats.org/officeDocument/2006/relationships/hyperlink" Target="https://www.federalregister.gov/documents/2011/12/28/2011-32572/approval-and-promulgation-of-implementation-plans-oklahoma-federal-implementation-plan-for" TargetMode="External"/><Relationship Id="rId52" Type="http://schemas.openxmlformats.org/officeDocument/2006/relationships/hyperlink" Target="https://www.federalregister.gov/documents/2012/05/23/2012-12504/approval-and-promulgation-of-implementation-plans-state-of-washington-regional-haze-state" TargetMode="External"/><Relationship Id="rId60" Type="http://schemas.openxmlformats.org/officeDocument/2006/relationships/hyperlink" Target="https://dnr.wi.gov/topic/AirQuality/documents/HazeSIPBARTAttachment4.pdf" TargetMode="External"/><Relationship Id="rId65" Type="http://schemas.openxmlformats.org/officeDocument/2006/relationships/hyperlink" Target="https://www.govinfo.gov/content/pkg/FR-2011-12-16/pdf/2011-32272.pdf" TargetMode="External"/><Relationship Id="rId4" Type="http://schemas.openxmlformats.org/officeDocument/2006/relationships/hyperlink" Target="https://www.regulations.gov/document?D=EPA-R04-OAR-2009-0782-0016" TargetMode="External"/><Relationship Id="rId9" Type="http://schemas.openxmlformats.org/officeDocument/2006/relationships/hyperlink" Target="https://www.govinfo.gov/content/pkg/FR-2014-01-30/pdf/2014-00930.pdf" TargetMode="External"/><Relationship Id="rId13" Type="http://schemas.openxmlformats.org/officeDocument/2006/relationships/hyperlink" Target="https://www.regulations.gov/contentStreamer?documentId=EPA-R08-OAR-2015-0463-0182&amp;contentType=pdf" TargetMode="External"/><Relationship Id="rId18" Type="http://schemas.openxmlformats.org/officeDocument/2006/relationships/hyperlink" Target="https://www.federalregister.gov/documents/2012/04/06/2012-6586/approval-and-promulgation-of-implementation-plans-north-dakota-regional-haze-state-implementation" TargetMode="External"/><Relationship Id="rId39" Type="http://schemas.openxmlformats.org/officeDocument/2006/relationships/hyperlink" Target="https://www.federalregister.gov/documents/2012/04/06/2012-6586/approval-and-promulgation-of-implementation-plans-north-dakota-regional-haze-state-implementatio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view="pageLayout" zoomScale="80" zoomScaleNormal="100" zoomScalePageLayoutView="80" workbookViewId="0">
      <selection activeCell="K3" sqref="K3"/>
    </sheetView>
  </sheetViews>
  <sheetFormatPr defaultRowHeight="15" x14ac:dyDescent="0.25"/>
  <sheetData/>
  <pageMargins left="0.7" right="0.7" top="0.75" bottom="0.75" header="0.3" footer="0.3"/>
  <pageSetup orientation="portrait" r:id="rId1"/>
  <headerFooter>
    <oddHeader>&amp;LDRAFT</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34" sqref="E34"/>
    </sheetView>
  </sheetViews>
  <sheetFormatPr defaultRowHeight="15" x14ac:dyDescent="0.25"/>
  <sheetData>
    <row r="1" spans="1:1" x14ac:dyDescent="0.25">
      <c r="A1" t="s">
        <v>0</v>
      </c>
    </row>
    <row r="2" spans="1:1" ht="12.6" customHeight="1"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9"/>
  <sheetViews>
    <sheetView tabSelected="1" zoomScale="70" zoomScaleNormal="70" workbookViewId="0">
      <pane xSplit="2" ySplit="17" topLeftCell="C18" activePane="bottomRight" state="frozen"/>
      <selection pane="topRight" activeCell="C1" sqref="C1"/>
      <selection pane="bottomLeft" activeCell="A18" sqref="A18"/>
      <selection pane="bottomRight" activeCell="O7" sqref="O7"/>
    </sheetView>
  </sheetViews>
  <sheetFormatPr defaultRowHeight="15" x14ac:dyDescent="0.25"/>
  <cols>
    <col min="1" max="1" width="22" customWidth="1"/>
    <col min="2" max="2" width="20.28515625" customWidth="1"/>
    <col min="3" max="6" width="9.5703125" bestFit="1" customWidth="1"/>
    <col min="7" max="7" width="10.42578125" bestFit="1" customWidth="1"/>
    <col min="8" max="8" width="13.140625" bestFit="1" customWidth="1"/>
    <col min="9" max="9" width="9.5703125" bestFit="1" customWidth="1"/>
    <col min="10" max="10" width="11.85546875" bestFit="1" customWidth="1"/>
    <col min="11" max="11" width="15.42578125" customWidth="1"/>
    <col min="12" max="12" width="17.140625" customWidth="1"/>
    <col min="13" max="13" width="11.7109375" customWidth="1"/>
    <col min="14" max="20" width="10.42578125" customWidth="1"/>
  </cols>
  <sheetData>
    <row r="1" spans="1:25" x14ac:dyDescent="0.25">
      <c r="A1" t="s">
        <v>423</v>
      </c>
      <c r="C1" s="149" t="s">
        <v>424</v>
      </c>
      <c r="D1" s="149"/>
      <c r="E1" s="149"/>
      <c r="F1" s="149"/>
      <c r="G1" s="149"/>
      <c r="H1" s="149"/>
    </row>
    <row r="2" spans="1:25" ht="60" x14ac:dyDescent="0.25">
      <c r="A2" s="12" t="s">
        <v>425</v>
      </c>
      <c r="B2" s="13" t="s">
        <v>426</v>
      </c>
      <c r="C2" s="14" t="s">
        <v>427</v>
      </c>
      <c r="D2" s="14" t="s">
        <v>428</v>
      </c>
      <c r="E2" s="14" t="s">
        <v>429</v>
      </c>
      <c r="F2" s="14" t="s">
        <v>430</v>
      </c>
      <c r="G2" s="14" t="s">
        <v>431</v>
      </c>
      <c r="H2" s="14" t="s">
        <v>432</v>
      </c>
      <c r="I2" s="15" t="s">
        <v>433</v>
      </c>
      <c r="J2" s="15" t="s">
        <v>434</v>
      </c>
      <c r="K2" s="16" t="s">
        <v>435</v>
      </c>
      <c r="L2" s="16" t="s">
        <v>436</v>
      </c>
      <c r="M2" s="16" t="s">
        <v>437</v>
      </c>
    </row>
    <row r="3" spans="1:25" x14ac:dyDescent="0.25">
      <c r="A3" s="150" t="s">
        <v>438</v>
      </c>
      <c r="B3" s="19" t="s">
        <v>439</v>
      </c>
      <c r="C3" s="122">
        <v>-56.818756319514655</v>
      </c>
      <c r="D3" s="122">
        <v>5193.4176225234623</v>
      </c>
      <c r="E3" s="122">
        <v>2310.9288720592431</v>
      </c>
      <c r="F3" s="122">
        <v>1371.8618660668321</v>
      </c>
      <c r="G3" s="122">
        <v>246.39366479394843</v>
      </c>
      <c r="H3" s="122">
        <v>5054.6526041929073</v>
      </c>
      <c r="I3" s="122">
        <v>2654.2470548062147</v>
      </c>
      <c r="J3" s="122">
        <v>31</v>
      </c>
      <c r="K3" s="122">
        <v>30</v>
      </c>
      <c r="L3" s="117">
        <v>0.967741935483871</v>
      </c>
      <c r="M3" s="116">
        <v>4910.8457923933693</v>
      </c>
      <c r="O3" s="115"/>
      <c r="P3" s="115"/>
      <c r="Q3" s="115"/>
      <c r="R3" s="115"/>
      <c r="S3" s="115"/>
      <c r="T3" s="115"/>
      <c r="U3" s="115"/>
      <c r="V3" s="115"/>
      <c r="W3" s="115"/>
      <c r="X3" s="115"/>
      <c r="Y3" s="115"/>
    </row>
    <row r="4" spans="1:25" x14ac:dyDescent="0.25">
      <c r="A4" s="151"/>
      <c r="B4" s="19" t="s">
        <v>440</v>
      </c>
      <c r="C4" s="122">
        <v>259.40808887345901</v>
      </c>
      <c r="D4" s="122">
        <v>5149.0745568300317</v>
      </c>
      <c r="E4" s="122">
        <v>2166.2557240179417</v>
      </c>
      <c r="F4" s="122">
        <v>1493.9837191090669</v>
      </c>
      <c r="G4" s="122">
        <v>248.99728651817782</v>
      </c>
      <c r="H4" s="122">
        <v>5154.223162236076</v>
      </c>
      <c r="I4" s="122">
        <v>1862.7491048920851</v>
      </c>
      <c r="J4" s="122">
        <v>36</v>
      </c>
      <c r="K4" s="122">
        <v>36</v>
      </c>
      <c r="L4" s="117">
        <v>1</v>
      </c>
      <c r="M4" s="116">
        <v>5027.8701772679879</v>
      </c>
      <c r="O4" s="115"/>
      <c r="P4" s="115"/>
      <c r="Q4" s="115"/>
      <c r="R4" s="115"/>
      <c r="S4" s="115"/>
      <c r="T4" s="115"/>
      <c r="U4" s="115"/>
      <c r="V4" s="115"/>
      <c r="W4" s="115"/>
      <c r="X4" s="115"/>
      <c r="Y4" s="115"/>
    </row>
    <row r="5" spans="1:25" x14ac:dyDescent="0.25">
      <c r="A5" s="151"/>
      <c r="B5" s="19" t="s">
        <v>441</v>
      </c>
      <c r="C5" s="122">
        <v>141.0639512752189</v>
      </c>
      <c r="D5" s="122">
        <v>5137.2716025885047</v>
      </c>
      <c r="E5" s="122">
        <v>1741.8708330281836</v>
      </c>
      <c r="F5" s="122">
        <v>1368.2855919730457</v>
      </c>
      <c r="G5" s="122">
        <v>193.50480413679801</v>
      </c>
      <c r="H5" s="122">
        <v>4478.4420169742752</v>
      </c>
      <c r="I5" s="122">
        <v>1434.2907597211254</v>
      </c>
      <c r="J5" s="122">
        <v>50</v>
      </c>
      <c r="K5" s="122">
        <v>46</v>
      </c>
      <c r="L5" s="117">
        <v>0.92</v>
      </c>
      <c r="M5" s="116">
        <v>4712.8067929266163</v>
      </c>
      <c r="O5" s="115"/>
      <c r="P5" s="115"/>
      <c r="Q5" s="115"/>
      <c r="R5" s="115"/>
      <c r="S5" s="115"/>
      <c r="T5" s="115"/>
      <c r="U5" s="115"/>
      <c r="V5" s="115"/>
      <c r="W5" s="115"/>
      <c r="X5" s="115"/>
      <c r="Y5" s="115"/>
    </row>
    <row r="6" spans="1:25" x14ac:dyDescent="0.25">
      <c r="A6" s="152"/>
      <c r="B6" s="19" t="s">
        <v>442</v>
      </c>
      <c r="C6" s="122">
        <v>-56.818756319514655</v>
      </c>
      <c r="D6" s="122">
        <v>5193.4176225234623</v>
      </c>
      <c r="E6" s="122">
        <v>2023.2268611101849</v>
      </c>
      <c r="F6" s="122">
        <v>1419.0156925125152</v>
      </c>
      <c r="G6" s="122">
        <v>131.18804718056191</v>
      </c>
      <c r="H6" s="122">
        <v>4861.2582461352158</v>
      </c>
      <c r="I6" s="122">
        <v>1988.9412905500703</v>
      </c>
      <c r="J6" s="122">
        <v>117</v>
      </c>
      <c r="K6" s="122">
        <v>112</v>
      </c>
      <c r="L6" s="117">
        <v>0.95726495726495731</v>
      </c>
      <c r="M6" s="116">
        <v>5085.6408315745721</v>
      </c>
      <c r="O6" s="115"/>
      <c r="P6" s="115"/>
      <c r="Q6" s="115"/>
      <c r="R6" s="115"/>
      <c r="S6" s="115"/>
      <c r="T6" s="115"/>
      <c r="U6" s="115"/>
      <c r="V6" s="115"/>
      <c r="W6" s="115"/>
      <c r="X6" s="115"/>
      <c r="Y6" s="115"/>
    </row>
    <row r="7" spans="1:25" x14ac:dyDescent="0.25">
      <c r="A7" s="150" t="s">
        <v>443</v>
      </c>
      <c r="B7" s="19" t="s">
        <v>444</v>
      </c>
      <c r="C7" s="122">
        <v>751.32141635306186</v>
      </c>
      <c r="D7" s="122">
        <v>751.32141635306186</v>
      </c>
      <c r="E7" s="122">
        <v>751.32141635306186</v>
      </c>
      <c r="F7" s="122">
        <v>0</v>
      </c>
      <c r="G7" s="122">
        <v>0</v>
      </c>
      <c r="H7" s="122">
        <v>751.32141635306186</v>
      </c>
      <c r="I7" s="122">
        <v>751.32141635306186</v>
      </c>
      <c r="J7" s="122">
        <v>2</v>
      </c>
      <c r="K7" s="122">
        <v>2</v>
      </c>
      <c r="L7" s="117">
        <v>1</v>
      </c>
      <c r="M7" s="116">
        <v>751.32141635306186</v>
      </c>
      <c r="O7" s="115"/>
      <c r="P7" s="115"/>
      <c r="Q7" s="115"/>
      <c r="R7" s="115"/>
      <c r="S7" s="115"/>
      <c r="T7" s="115"/>
      <c r="U7" s="115"/>
      <c r="V7" s="115"/>
      <c r="W7" s="115"/>
      <c r="X7" s="115"/>
      <c r="Y7" s="115"/>
    </row>
    <row r="8" spans="1:25" x14ac:dyDescent="0.25">
      <c r="A8" s="151"/>
      <c r="B8" s="19" t="s">
        <v>445</v>
      </c>
      <c r="C8" s="122">
        <v>1465.592453474475</v>
      </c>
      <c r="D8" s="122">
        <v>1833.8057025781118</v>
      </c>
      <c r="E8" s="122">
        <v>1649.6990780262934</v>
      </c>
      <c r="F8" s="122">
        <v>260.36608536391225</v>
      </c>
      <c r="G8" s="122">
        <v>184.10662455181784</v>
      </c>
      <c r="H8" s="122">
        <v>2170.4312487541179</v>
      </c>
      <c r="I8" s="122">
        <v>1649.6990780262934</v>
      </c>
      <c r="J8" s="122">
        <v>2</v>
      </c>
      <c r="K8" s="122">
        <v>2</v>
      </c>
      <c r="L8" s="117">
        <v>1</v>
      </c>
      <c r="M8" s="116">
        <v>1826.4414375960391</v>
      </c>
      <c r="O8" s="115"/>
      <c r="P8" s="115"/>
      <c r="Q8" s="115"/>
      <c r="R8" s="115"/>
      <c r="S8" s="115"/>
      <c r="T8" s="115"/>
      <c r="U8" s="115"/>
      <c r="V8" s="115"/>
      <c r="W8" s="115"/>
      <c r="X8" s="115"/>
      <c r="Y8" s="115"/>
    </row>
    <row r="9" spans="1:25" x14ac:dyDescent="0.25">
      <c r="A9" s="151"/>
      <c r="B9" s="19" t="s">
        <v>446</v>
      </c>
      <c r="C9" s="122">
        <v>427.81690140845075</v>
      </c>
      <c r="D9" s="122">
        <v>3732.4133993148084</v>
      </c>
      <c r="E9" s="122">
        <v>1473.8943772903297</v>
      </c>
      <c r="F9" s="122">
        <v>919.70917211782455</v>
      </c>
      <c r="G9" s="122">
        <v>265.49716904919694</v>
      </c>
      <c r="H9" s="122">
        <v>3313.3127215259788</v>
      </c>
      <c r="I9" s="122">
        <v>1295.6676341072857</v>
      </c>
      <c r="J9" s="122">
        <v>12</v>
      </c>
      <c r="K9" s="122">
        <v>11</v>
      </c>
      <c r="L9" s="117">
        <v>0.91666666666666663</v>
      </c>
      <c r="M9" s="116">
        <v>3436.1280397008441</v>
      </c>
      <c r="O9" s="115"/>
      <c r="P9" s="115"/>
      <c r="Q9" s="115"/>
      <c r="R9" s="115"/>
      <c r="S9" s="115"/>
      <c r="T9" s="115"/>
      <c r="U9" s="115"/>
      <c r="V9" s="115"/>
      <c r="W9" s="115"/>
      <c r="X9" s="115"/>
      <c r="Y9" s="115"/>
    </row>
    <row r="10" spans="1:25" x14ac:dyDescent="0.25">
      <c r="A10" s="152"/>
      <c r="B10" s="19" t="s">
        <v>442</v>
      </c>
      <c r="C10" s="122">
        <v>427.81690140845075</v>
      </c>
      <c r="D10" s="122">
        <v>3732.4133993148084</v>
      </c>
      <c r="E10" s="122">
        <v>1405.5483447651666</v>
      </c>
      <c r="F10" s="122">
        <v>832.81066848866567</v>
      </c>
      <c r="G10" s="122">
        <v>208.20266712216642</v>
      </c>
      <c r="H10" s="122">
        <v>3071.1696817424981</v>
      </c>
      <c r="I10" s="122">
        <v>1295.6676341072857</v>
      </c>
      <c r="J10" s="122">
        <v>16</v>
      </c>
      <c r="K10" s="122">
        <v>15</v>
      </c>
      <c r="L10" s="117">
        <v>0.9375</v>
      </c>
      <c r="M10" s="116">
        <v>3328.3879089321299</v>
      </c>
      <c r="O10" s="115"/>
      <c r="P10" s="115"/>
      <c r="Q10" s="115"/>
      <c r="R10" s="115"/>
      <c r="S10" s="115"/>
      <c r="T10" s="115"/>
      <c r="U10" s="115"/>
      <c r="V10" s="115"/>
      <c r="W10" s="115"/>
      <c r="X10" s="115"/>
      <c r="Y10" s="115"/>
    </row>
    <row r="11" spans="1:25" x14ac:dyDescent="0.25">
      <c r="A11" s="24" t="s">
        <v>372</v>
      </c>
      <c r="B11" s="19" t="s">
        <v>442</v>
      </c>
      <c r="C11" s="122">
        <v>513.97058823529414</v>
      </c>
      <c r="D11" s="122">
        <v>4773.6300057482276</v>
      </c>
      <c r="E11" s="122">
        <v>1566.9286352374859</v>
      </c>
      <c r="F11" s="122">
        <v>1142.8601134269904</v>
      </c>
      <c r="G11" s="122">
        <v>329.91529706657963</v>
      </c>
      <c r="H11" s="122">
        <v>3852.648862091467</v>
      </c>
      <c r="I11" s="122">
        <v>1131.4748216084001</v>
      </c>
      <c r="J11" s="122">
        <v>12</v>
      </c>
      <c r="K11" s="122">
        <v>11</v>
      </c>
      <c r="L11" s="117">
        <v>0.91666666666666663</v>
      </c>
      <c r="M11" s="116">
        <v>4193.9269569981552</v>
      </c>
      <c r="O11" s="115"/>
      <c r="P11" s="115"/>
      <c r="Q11" s="115"/>
      <c r="R11" s="115"/>
      <c r="S11" s="115"/>
      <c r="T11" s="115"/>
      <c r="U11" s="115"/>
      <c r="V11" s="115"/>
      <c r="W11" s="115"/>
      <c r="X11" s="115"/>
      <c r="Y11" s="115"/>
    </row>
    <row r="12" spans="1:25" x14ac:dyDescent="0.25">
      <c r="A12" s="24" t="s">
        <v>416</v>
      </c>
      <c r="B12" s="19" t="s">
        <v>442</v>
      </c>
      <c r="C12" s="122">
        <v>912.14632876236772</v>
      </c>
      <c r="D12" s="122">
        <v>1043.9593820517273</v>
      </c>
      <c r="E12" s="122">
        <v>978.05285540704745</v>
      </c>
      <c r="F12" s="122">
        <v>93.205903829809913</v>
      </c>
      <c r="G12" s="122">
        <v>65.906526644679786</v>
      </c>
      <c r="H12" s="122">
        <v>1164.4646630666673</v>
      </c>
      <c r="I12" s="122">
        <v>978.05285540704745</v>
      </c>
      <c r="J12" s="122">
        <v>2</v>
      </c>
      <c r="K12" s="122">
        <v>2</v>
      </c>
      <c r="L12" s="117">
        <v>1</v>
      </c>
      <c r="M12" s="116">
        <v>1041.32312098594</v>
      </c>
      <c r="O12" s="115"/>
      <c r="P12" s="115"/>
      <c r="Q12" s="115"/>
      <c r="R12" s="115"/>
      <c r="S12" s="115"/>
      <c r="T12" s="115"/>
      <c r="U12" s="115"/>
      <c r="V12" s="115"/>
      <c r="W12" s="115"/>
      <c r="X12" s="115"/>
      <c r="Y12" s="115"/>
    </row>
    <row r="13" spans="1:25" x14ac:dyDescent="0.25">
      <c r="A13" s="18" t="s">
        <v>447</v>
      </c>
      <c r="B13" s="18" t="s">
        <v>442</v>
      </c>
      <c r="C13" s="122">
        <v>-56.818756319514655</v>
      </c>
      <c r="D13" s="122">
        <v>5193.4176225234623</v>
      </c>
      <c r="E13" s="122">
        <v>1904.5276571414845</v>
      </c>
      <c r="F13" s="122">
        <v>1352.5078199418758</v>
      </c>
      <c r="G13" s="122">
        <v>111.55296484635942</v>
      </c>
      <c r="H13" s="122">
        <v>4609.5432970252359</v>
      </c>
      <c r="I13" s="122">
        <v>1601.4683284958171</v>
      </c>
      <c r="J13" s="122">
        <v>147</v>
      </c>
      <c r="K13" s="122">
        <v>137</v>
      </c>
      <c r="L13" s="117">
        <v>0.93197278911564629</v>
      </c>
      <c r="M13" s="116">
        <v>4988.8331359234498</v>
      </c>
      <c r="O13" s="115"/>
      <c r="P13" s="115"/>
      <c r="Q13" s="115"/>
      <c r="R13" s="115"/>
      <c r="S13" s="115"/>
      <c r="T13" s="115"/>
      <c r="U13" s="115"/>
      <c r="V13" s="115"/>
      <c r="W13" s="115"/>
      <c r="X13" s="115"/>
      <c r="Y13" s="115"/>
    </row>
    <row r="14" spans="1:25" ht="15.75" x14ac:dyDescent="0.25">
      <c r="A14" s="6"/>
    </row>
    <row r="15" spans="1:25" x14ac:dyDescent="0.25">
      <c r="A15" s="123" t="s">
        <v>538</v>
      </c>
      <c r="B15" s="124"/>
    </row>
    <row r="17" spans="1:20" ht="60" x14ac:dyDescent="0.25">
      <c r="A17" s="118" t="s">
        <v>425</v>
      </c>
      <c r="B17" s="13" t="s">
        <v>426</v>
      </c>
      <c r="C17" s="87" t="s">
        <v>427</v>
      </c>
      <c r="D17" s="87" t="s">
        <v>428</v>
      </c>
      <c r="E17" s="87" t="s">
        <v>429</v>
      </c>
      <c r="F17" s="87" t="s">
        <v>430</v>
      </c>
      <c r="G17" s="87" t="s">
        <v>431</v>
      </c>
      <c r="H17" s="87" t="s">
        <v>432</v>
      </c>
      <c r="I17" s="15" t="s">
        <v>433</v>
      </c>
      <c r="J17" s="15" t="s">
        <v>434</v>
      </c>
      <c r="K17" s="16" t="s">
        <v>435</v>
      </c>
      <c r="L17" s="16" t="s">
        <v>436</v>
      </c>
      <c r="M17" s="16" t="s">
        <v>437</v>
      </c>
      <c r="N17" s="125" t="s">
        <v>539</v>
      </c>
      <c r="O17" s="125" t="s">
        <v>540</v>
      </c>
      <c r="P17" s="125" t="s">
        <v>541</v>
      </c>
      <c r="Q17" s="125" t="s">
        <v>542</v>
      </c>
      <c r="R17" s="125" t="s">
        <v>543</v>
      </c>
      <c r="S17" s="125" t="s">
        <v>544</v>
      </c>
      <c r="T17" s="125" t="s">
        <v>545</v>
      </c>
    </row>
    <row r="18" spans="1:20" x14ac:dyDescent="0.25">
      <c r="A18" s="119" t="s">
        <v>438</v>
      </c>
      <c r="B18" s="19" t="s">
        <v>439</v>
      </c>
      <c r="C18" s="20">
        <f>MIN('BART and RP Determination Costs'!Q3:Q35)</f>
        <v>-56.818756319514655</v>
      </c>
      <c r="D18" s="20">
        <f>MAX('BART and RP Determination Costs'!Q3:Q35)</f>
        <v>8249.9871707150178</v>
      </c>
      <c r="E18" s="20">
        <f>AVERAGE('BART and RP Determination Costs'!Q3:Q35)</f>
        <v>2427.5165913383321</v>
      </c>
      <c r="F18" s="20">
        <f>STDEV('BART and RP Determination Costs'!Q3:Q35)</f>
        <v>1728.9724219070636</v>
      </c>
      <c r="G18" s="20">
        <f>F18/SQRT(COUNT('BART and RP Determination Costs'!Q3:Q35))</f>
        <v>300.97546641762744</v>
      </c>
      <c r="H18" s="120">
        <f t="shared" ref="H18:H22" si="0">E18+2*F18</f>
        <v>5885.4614351524597</v>
      </c>
      <c r="I18" s="20">
        <f>MEDIAN('BART and RP Determination Costs'!Q3:Q35)</f>
        <v>2654.2470548062147</v>
      </c>
      <c r="J18" s="21">
        <f>COUNT('BART and RP Determination Costs'!Q3:Q35)</f>
        <v>33</v>
      </c>
      <c r="K18" s="19">
        <f>COUNTIF('BART and RP Determination Costs'!Q3:Q35, "&lt;=" &amp;H18)</f>
        <v>32</v>
      </c>
      <c r="L18" s="22">
        <f>K18/J18</f>
        <v>0.96969696969696972</v>
      </c>
      <c r="M18" s="121">
        <f>PERCENTILE('BART and RP Determination Costs'!$Q$3:$Q$35,0.98)</f>
        <v>6293.7826598724205</v>
      </c>
      <c r="N18" s="121">
        <f>PERCENTILE('BART and RP Determination Costs'!$Q$3:$Q$35,0.95)</f>
        <v>4910.8457923933693</v>
      </c>
      <c r="O18" s="121">
        <f>PERCENTILE('BART and RP Determination Costs'!$Q$3:$Q$35,0.9)</f>
        <v>3696.4291947065985</v>
      </c>
      <c r="P18" s="121">
        <f>PERCENTILE('BART and RP Determination Costs'!$Q$3:$Q$35,0.85)</f>
        <v>3590.2384186266263</v>
      </c>
      <c r="Q18" s="121">
        <f>PERCENTILE('BART and RP Determination Costs'!$Q$3:$Q$35,0.8)</f>
        <v>3554.943475213086</v>
      </c>
      <c r="R18" s="121">
        <f>PERCENTILE('BART and RP Determination Costs'!$Q$3:$Q$35,0.75)</f>
        <v>3526.5987818804724</v>
      </c>
      <c r="S18" s="121">
        <f>PERCENTILE('BART and RP Determination Costs'!$Q$3:$Q$35,0.7)</f>
        <v>3481.1948724136837</v>
      </c>
      <c r="T18" s="121">
        <f>PERCENTILE('BART and RP Determination Costs'!$Q$3:$Q$35,0.65)</f>
        <v>3061.5444421557017</v>
      </c>
    </row>
    <row r="19" spans="1:20" x14ac:dyDescent="0.25">
      <c r="A19" s="119" t="s">
        <v>438</v>
      </c>
      <c r="B19" s="19" t="s">
        <v>440</v>
      </c>
      <c r="C19" s="20">
        <f>MIN('BART and RP Determination Costs'!Q91:Q127)</f>
        <v>217.18696544645911</v>
      </c>
      <c r="D19" s="20">
        <f>MAX('BART and RP Determination Costs'!Q91:Q127)</f>
        <v>5149.0745568300317</v>
      </c>
      <c r="E19" s="20">
        <f>AVERAGE('BART and RP Determination Costs'!Q91:Q127)</f>
        <v>2113.5781900024958</v>
      </c>
      <c r="F19" s="20">
        <f>STDEV('BART and RP Determination Costs'!Q90:Q127)</f>
        <v>1752.8902451883216</v>
      </c>
      <c r="G19" s="20">
        <f>F19/SQRT(COUNT('BART and RP Determination Costs'!Q90:Q127))</f>
        <v>284.35634666070035</v>
      </c>
      <c r="H19" s="120">
        <f>E19+2*F19</f>
        <v>5619.3586803791386</v>
      </c>
      <c r="I19" s="20">
        <f>MEDIAN('BART and RP Determination Costs'!Q90:Q127)</f>
        <v>1862.7491048920851</v>
      </c>
      <c r="J19" s="23">
        <f>COUNT('BART and RP Determination Costs'!Q90:Q127)</f>
        <v>38</v>
      </c>
      <c r="K19" s="19">
        <f>COUNTIF('BART and RP Determination Costs'!Q90:Q127,"&lt;=" &amp;H19)</f>
        <v>37</v>
      </c>
      <c r="L19" s="22">
        <f>K19/J19</f>
        <v>0.97368421052631582</v>
      </c>
      <c r="M19" s="121">
        <f>PERCENTILE('BART and RP Determination Costs'!$Q$90:$Q$127,0.98)</f>
        <v>5847.3711294200348</v>
      </c>
      <c r="N19" s="121">
        <f>PERCENTILE('BART and RP Determination Costs'!$Q$90:$Q$127,0.95)</f>
        <v>5001.8978102189785</v>
      </c>
      <c r="O19" s="121">
        <f>PERCENTILE('BART and RP Determination Costs'!$Q$90:$Q$127,0.9)</f>
        <v>4492.6533451051582</v>
      </c>
      <c r="P19" s="121">
        <f>PERCENTILE('BART and RP Determination Costs'!$Q$90:$Q$127,0.85)</f>
        <v>4022.4895574255297</v>
      </c>
      <c r="Q19" s="121">
        <f>PERCENTILE('BART and RP Determination Costs'!$Q$90:$Q$127,0.8)</f>
        <v>3260.9728360027843</v>
      </c>
      <c r="R19" s="121">
        <f>PERCENTILE('BART and RP Determination Costs'!$Q$90:$Q$127,0.75)</f>
        <v>3214.241727702035</v>
      </c>
      <c r="S19" s="121">
        <f>PERCENTILE('BART and RP Determination Costs'!$Q$90:$Q$127,0.7)</f>
        <v>3108.8485870826539</v>
      </c>
      <c r="T19" s="121">
        <f>PERCENTILE('BART and RP Determination Costs'!$Q$90:$Q$127,0.65)</f>
        <v>3027.8669278407547</v>
      </c>
    </row>
    <row r="20" spans="1:20" x14ac:dyDescent="0.25">
      <c r="A20" s="119" t="s">
        <v>438</v>
      </c>
      <c r="B20" s="19" t="s">
        <v>441</v>
      </c>
      <c r="C20" s="20">
        <f>MIN('BART and RP Determination Costs'!Q36:Q90)</f>
        <v>141.0639512752189</v>
      </c>
      <c r="D20" s="20">
        <f>MAX('BART and RP Determination Costs'!Q36:Q90)</f>
        <v>7834.8306052531416</v>
      </c>
      <c r="E20" s="20">
        <f>AVERAGE('BART and RP Determination Costs'!Q36:Q90)</f>
        <v>2070.1117329022281</v>
      </c>
      <c r="F20" s="20">
        <f>STDEV('BART and RP Determination Costs'!Q36:Q90)</f>
        <v>1733.0460273428039</v>
      </c>
      <c r="G20" s="20">
        <f>F20/SQRT(COUNT('BART and RP Determination Costs'!Q36:Q90))</f>
        <v>233.68387865539728</v>
      </c>
      <c r="H20" s="120">
        <f>E20+2*F20</f>
        <v>5536.2037875878359</v>
      </c>
      <c r="I20" s="20">
        <f>MEDIAN('BART and RP Determination Costs'!Q36:Q90)</f>
        <v>2124.2274201809801</v>
      </c>
      <c r="J20" s="23">
        <f>COUNT('BART and RP Determination Costs'!Q36:Q90)</f>
        <v>55</v>
      </c>
      <c r="K20" s="19">
        <f>COUNTIF('BART and RP Determination Costs'!Q36:Q90,"&lt;="&amp;H20)</f>
        <v>52</v>
      </c>
      <c r="L20" s="22">
        <f t="shared" ref="L20:L29" si="1">K20/J20</f>
        <v>0.94545454545454544</v>
      </c>
      <c r="M20" s="121">
        <f>PERCENTILE('BART and RP Determination Costs'!$Q$36:$Q$90,0.98)</f>
        <v>5665.5661991105026</v>
      </c>
      <c r="N20" s="121">
        <f>PERCENTILE('BART and RP Determination Costs'!$Q$36:$Q$90,0.95)</f>
        <v>5295.7599815451022</v>
      </c>
      <c r="O20" s="121">
        <f>PERCENTILE('BART and RP Determination Costs'!$Q$36:$Q$90,0.9)</f>
        <v>4644.4592952612393</v>
      </c>
      <c r="P20" s="121">
        <f>PERCENTILE('BART and RP Determination Costs'!$Q$36:$Q$90,0.85)</f>
        <v>3816.8205177007999</v>
      </c>
      <c r="Q20" s="121">
        <f>PERCENTILE('BART and RP Determination Costs'!$Q$36:$Q$90,0.8)</f>
        <v>3323.1911396348878</v>
      </c>
      <c r="R20" s="121">
        <f>PERCENTILE('BART and RP Determination Costs'!$Q$36:$Q$90,0.75)</f>
        <v>2605.8421106844899</v>
      </c>
      <c r="S20" s="121">
        <f>PERCENTILE('BART and RP Determination Costs'!$Q$36:$Q$90,0.7)</f>
        <v>2454.0635137442378</v>
      </c>
      <c r="T20" s="121">
        <f>PERCENTILE('BART and RP Determination Costs'!$Q$36:$Q$90,0.65)</f>
        <v>2348.0554458593469</v>
      </c>
    </row>
    <row r="21" spans="1:20" x14ac:dyDescent="0.25">
      <c r="A21" s="134" t="s">
        <v>438</v>
      </c>
      <c r="B21" s="135" t="s">
        <v>442</v>
      </c>
      <c r="C21" s="136">
        <f>MIN('BART and RP Determination Costs'!Q3:Q127)</f>
        <v>-56.818756319514655</v>
      </c>
      <c r="D21" s="136">
        <f>MAX('BART and RP Determination Costs'!Q3:Q127)</f>
        <v>8249.9871707150178</v>
      </c>
      <c r="E21" s="136">
        <f>AVERAGE('BART and RP Determination Costs'!Q3:Q127)</f>
        <v>2177.3326868310392</v>
      </c>
      <c r="F21" s="136">
        <f>STDEV('BART and RP Determination Costs'!Q3:Q127)</f>
        <v>1661.9781760308765</v>
      </c>
      <c r="G21" s="136">
        <f>F21/SQRT(COUNT('BART and RP Determination Costs'!Q3:Q127))</f>
        <v>148.65184714904606</v>
      </c>
      <c r="H21" s="137">
        <f>E21+2*F21</f>
        <v>5501.2890388927917</v>
      </c>
      <c r="I21" s="136">
        <f>MEDIAN('BART and RP Determination Costs'!Q3:Q127)</f>
        <v>2124.2274201809801</v>
      </c>
      <c r="J21" s="138">
        <f>COUNT('BART and RP Determination Costs'!Q3:Q127)</f>
        <v>125</v>
      </c>
      <c r="K21" s="135">
        <f>COUNTIF('BART and RP Determination Costs'!Q3:Q127,"&lt;="&amp;H21)</f>
        <v>121</v>
      </c>
      <c r="L21" s="139">
        <f t="shared" si="1"/>
        <v>0.96799999999999997</v>
      </c>
      <c r="M21" s="140">
        <f>PERCENTILE('BART and RP Determination Costs'!$Q$3:$Q$127,0.98)</f>
        <v>5665.5661991105026</v>
      </c>
      <c r="N21" s="140">
        <f>PERCENTILE('BART and RP Determination Costs'!$Q$3:$Q$127,0.95)</f>
        <v>5105.0023707047967</v>
      </c>
      <c r="O21" s="140">
        <f>PERCENTILE('BART and RP Determination Costs'!$Q$3:$Q$127,0.9)</f>
        <v>4492.894130152793</v>
      </c>
      <c r="P21" s="140">
        <f>PERCENTILE('BART and RP Determination Costs'!$Q$3:$Q$127,0.85)</f>
        <v>3736.7673872634455</v>
      </c>
      <c r="Q21" s="140">
        <f>PERCENTILE('BART and RP Determination Costs'!$Q$3:$Q$127,0.8)</f>
        <v>3526.5987818804724</v>
      </c>
      <c r="R21" s="140">
        <f>PERCENTILE('BART and RP Determination Costs'!$Q$3:$Q$127,0.75)</f>
        <v>3219.7387853055193</v>
      </c>
      <c r="S21" s="140">
        <f>PERCENTILE('BART and RP Determination Costs'!$Q$3:$Q$127,0.7)</f>
        <v>3014.301876281424</v>
      </c>
      <c r="T21" s="140">
        <f>PERCENTILE('BART and RP Determination Costs'!$Q$3:$Q$127,0.65)</f>
        <v>2673.2525236951665</v>
      </c>
    </row>
    <row r="22" spans="1:20" x14ac:dyDescent="0.25">
      <c r="A22" s="119" t="s">
        <v>443</v>
      </c>
      <c r="B22" s="19" t="s">
        <v>444</v>
      </c>
      <c r="C22" s="20">
        <f>MIN('BART and RP Determination Costs'!Q128:Q129)</f>
        <v>751.32141635306186</v>
      </c>
      <c r="D22" s="20">
        <f>MAX('BART and RP Determination Costs'!Q128:Q129)</f>
        <v>751.32141635306186</v>
      </c>
      <c r="E22" s="20">
        <f>AVERAGE('BART and RP Determination Costs'!Q128:Q129)</f>
        <v>751.32141635306186</v>
      </c>
      <c r="F22" s="20">
        <f>STDEV('BART and RP Determination Costs'!Q128:Q129)</f>
        <v>0</v>
      </c>
      <c r="G22" s="20">
        <f>F22/SQRT(COUNT('BART and RP Determination Costs'!Q135:Q136))</f>
        <v>0</v>
      </c>
      <c r="H22" s="120">
        <f t="shared" si="0"/>
        <v>751.32141635306186</v>
      </c>
      <c r="I22" s="20">
        <f>MEDIAN('BART and RP Determination Costs'!Q128:Q129)</f>
        <v>751.32141635306186</v>
      </c>
      <c r="J22" s="23">
        <f>COUNT('BART and RP Determination Costs'!Q128:Q129)</f>
        <v>2</v>
      </c>
      <c r="K22" s="19">
        <f>COUNTIF('BART and RP Determination Costs'!Q128:Q129,"&lt;="&amp;H22)</f>
        <v>2</v>
      </c>
      <c r="L22" s="22">
        <f t="shared" si="1"/>
        <v>1</v>
      </c>
      <c r="M22" s="121">
        <f>PERCENTILE('BART and RP Determination Costs'!$Q$128:$Q$129,0.98)</f>
        <v>751.32141635306186</v>
      </c>
      <c r="N22" s="121">
        <f>PERCENTILE('BART and RP Determination Costs'!$Q$128:$Q$129,0.95)</f>
        <v>751.32141635306186</v>
      </c>
      <c r="O22" s="121">
        <f>PERCENTILE('BART and RP Determination Costs'!$Q$128:$Q$129,0.9)</f>
        <v>751.32141635306186</v>
      </c>
      <c r="P22" s="121">
        <f>PERCENTILE('BART and RP Determination Costs'!$Q$128:$Q$129,0.85)</f>
        <v>751.32141635306186</v>
      </c>
      <c r="Q22" s="121">
        <f>PERCENTILE('BART and RP Determination Costs'!$Q$128:$Q$129,0.8)</f>
        <v>751.32141635306186</v>
      </c>
      <c r="R22" s="121">
        <f>PERCENTILE('BART and RP Determination Costs'!$Q$128:$Q$129,0.75)</f>
        <v>751.32141635306186</v>
      </c>
      <c r="S22" s="121">
        <f>PERCENTILE('BART and RP Determination Costs'!$Q$128:$Q$129,0.7)</f>
        <v>751.32141635306186</v>
      </c>
      <c r="T22" s="121">
        <f>PERCENTILE('BART and RP Determination Costs'!$Q$128:$Q$129,0.65)</f>
        <v>751.32141635306186</v>
      </c>
    </row>
    <row r="23" spans="1:20" x14ac:dyDescent="0.25">
      <c r="A23" s="119" t="s">
        <v>443</v>
      </c>
      <c r="B23" s="19" t="s">
        <v>445</v>
      </c>
      <c r="C23" s="20">
        <f>MIN('BART and RP Determination Costs'!Q146:Q147)</f>
        <v>1465.592453474475</v>
      </c>
      <c r="D23" s="20">
        <f>MAX('BART and RP Determination Costs'!Q146:Q147)</f>
        <v>1833.8057025781118</v>
      </c>
      <c r="E23" s="20">
        <f>AVERAGE('BART and RP Determination Costs'!Q146:Q147)</f>
        <v>1649.6990780262934</v>
      </c>
      <c r="F23" s="20">
        <f>STDEV('BART and RP Determination Costs'!Q146:Q147)</f>
        <v>260.36608536391225</v>
      </c>
      <c r="G23" s="20">
        <f>F23/SQRT(COUNT('BART and RP Determination Costs'!Q146:Q147))</f>
        <v>184.10662455181784</v>
      </c>
      <c r="H23" s="120">
        <f t="shared" ref="H23:H29" si="2">E23+2*F23</f>
        <v>2170.4312487541179</v>
      </c>
      <c r="I23" s="20">
        <f>MEDIAN('BART and RP Determination Costs'!Q146:Q147)</f>
        <v>1649.6990780262934</v>
      </c>
      <c r="J23" s="23">
        <f>COUNT('BART and RP Determination Costs'!Q146:Q147)</f>
        <v>2</v>
      </c>
      <c r="K23" s="19">
        <f>COUNTIF('BART and RP Determination Costs'!Q146:Q147,"&lt;="&amp;H23)</f>
        <v>2</v>
      </c>
      <c r="L23" s="22">
        <f t="shared" si="1"/>
        <v>1</v>
      </c>
      <c r="M23" s="121">
        <f>PERCENTILE('BART and RP Determination Costs'!$Q$146:$Q$147,0.98)</f>
        <v>1826.4414375960391</v>
      </c>
      <c r="N23" s="121">
        <f>PERCENTILE('BART and RP Determination Costs'!$Q$146:$Q$147,0.95)</f>
        <v>1815.3950401229299</v>
      </c>
      <c r="O23" s="121">
        <f>PERCENTILE('BART and RP Determination Costs'!$Q$146:$Q$147,0.9)</f>
        <v>1796.984377667748</v>
      </c>
      <c r="P23" s="121">
        <f>PERCENTILE('BART and RP Determination Costs'!$Q$146:$Q$147,0.85)</f>
        <v>1778.5737152125662</v>
      </c>
      <c r="Q23" s="121">
        <f>PERCENTILE('BART and RP Determination Costs'!$Q$146:$Q$147,0.8)</f>
        <v>1760.1630527573843</v>
      </c>
      <c r="R23" s="121">
        <f>PERCENTILE('BART and RP Determination Costs'!$Q$146:$Q$147,0.75)</f>
        <v>1741.7523903022025</v>
      </c>
      <c r="S23" s="121">
        <f>PERCENTILE('BART and RP Determination Costs'!$Q$146:$Q$147,0.7)</f>
        <v>1723.3417278470206</v>
      </c>
      <c r="T23" s="121">
        <f>PERCENTILE('BART and RP Determination Costs'!$Q$146:$Q$147,0.65)</f>
        <v>1704.9310653918387</v>
      </c>
    </row>
    <row r="24" spans="1:20" x14ac:dyDescent="0.25">
      <c r="A24" s="119" t="s">
        <v>443</v>
      </c>
      <c r="B24" s="19" t="s">
        <v>446</v>
      </c>
      <c r="C24" s="20">
        <f>MIN('BART and RP Determination Costs'!Q130:Q145)</f>
        <v>427.81690140845075</v>
      </c>
      <c r="D24" s="20">
        <f>MAX('BART and RP Determination Costs'!Q130:Q145)</f>
        <v>4536.7179353493229</v>
      </c>
      <c r="E24" s="20">
        <f>AVERAGE('BART and RP Determination Costs'!Q130:Q145)</f>
        <v>1672.9352696499568</v>
      </c>
      <c r="F24" s="20">
        <f>STDEV('BART and RP Determination Costs'!Q130:Q145)</f>
        <v>1159.6617780318297</v>
      </c>
      <c r="G24" s="20">
        <f>F24/SQRT(COUNT('BART and RP Determination Costs'!Q130:Q145))</f>
        <v>299.42338357003723</v>
      </c>
      <c r="H24" s="120">
        <f t="shared" si="2"/>
        <v>3992.2588257136163</v>
      </c>
      <c r="I24" s="20">
        <f>MEDIAN('BART and RP Determination Costs'!Q130:Q145)</f>
        <v>1295.6676341072857</v>
      </c>
      <c r="J24" s="23">
        <f>COUNT('BART and RP Determination Costs'!Q130:Q145)</f>
        <v>15</v>
      </c>
      <c r="K24" s="17">
        <f>COUNTIF('BART and RP Determination Costs'!Q130:Q145,"&lt;="&amp;H24)</f>
        <v>14</v>
      </c>
      <c r="L24" s="22">
        <f t="shared" si="1"/>
        <v>0.93333333333333335</v>
      </c>
      <c r="M24" s="121">
        <f>PERCENTILE('BART and RP Determination Costs'!$Q$130:$Q$145,0.98)</f>
        <v>4311.5126652596582</v>
      </c>
      <c r="N24" s="121">
        <f>PERCENTILE('BART and RP Determination Costs'!$Q$130:$Q$145,0.95)</f>
        <v>3973.704760125162</v>
      </c>
      <c r="O24" s="121">
        <f>PERCENTILE('BART and RP Determination Costs'!$Q$130:$Q$145,0.9)</f>
        <v>3193.7127454712377</v>
      </c>
      <c r="P24" s="121">
        <f>PERCENTILE('BART and RP Determination Costs'!$Q$130:$Q$145,0.85)</f>
        <v>2351.1758128260822</v>
      </c>
      <c r="Q24" s="121">
        <f>PERCENTILE('BART and RP Determination Costs'!$Q$130:$Q$145,0.8)</f>
        <v>2109.7741496674807</v>
      </c>
      <c r="R24" s="121">
        <f>PERCENTILE('BART and RP Determination Costs'!$Q$130:$Q$145,0.75)</f>
        <v>1981.8328892272557</v>
      </c>
      <c r="S24" s="121">
        <f>PERCENTILE('BART and RP Determination Costs'!$Q$130:$Q$145,0.7)</f>
        <v>1922.8635325466314</v>
      </c>
      <c r="T24" s="121">
        <f>PERCENTILE('BART and RP Determination Costs'!$Q$130:$Q$145,0.65)</f>
        <v>1922.8635325466314</v>
      </c>
    </row>
    <row r="25" spans="1:20" x14ac:dyDescent="0.25">
      <c r="A25" s="126" t="s">
        <v>443</v>
      </c>
      <c r="B25" s="127" t="s">
        <v>442</v>
      </c>
      <c r="C25" s="128">
        <f>MIN('BART and RP Determination Costs'!Q128:Q147)</f>
        <v>427.81690140845075</v>
      </c>
      <c r="D25" s="128">
        <f>MAX('BART and RP Determination Costs'!Q128:Q147)</f>
        <v>4536.7179353493229</v>
      </c>
      <c r="E25" s="128">
        <f>AVERAGE('BART and RP Determination Costs'!Q128:Q147)</f>
        <v>1573.4773701846348</v>
      </c>
      <c r="F25" s="128">
        <f>STDEV('BART and RP Determination Costs'!Q128:Q147)</f>
        <v>1064.7661474923805</v>
      </c>
      <c r="G25" s="128">
        <f>F25/SQRT(COUNT('BART and RP Determination Costs'!Q128:Q147))</f>
        <v>244.27410712749526</v>
      </c>
      <c r="H25" s="129">
        <f t="shared" si="2"/>
        <v>3703.0096651693957</v>
      </c>
      <c r="I25" s="128">
        <f>MEDIAN('BART and RP Determination Costs'!Q128:Q147)</f>
        <v>1295.6676341072857</v>
      </c>
      <c r="J25" s="130">
        <f>COUNT('BART and RP Determination Costs'!Q128:Q147)</f>
        <v>19</v>
      </c>
      <c r="K25" s="133">
        <f>COUNTIF('BART and RP Determination Costs'!Q128:Q147,"&lt;="&amp;H25)</f>
        <v>17</v>
      </c>
      <c r="L25" s="131">
        <f t="shared" si="1"/>
        <v>0.89473684210526316</v>
      </c>
      <c r="M25" s="132">
        <f>PERCENTILE('BART and RP Determination Costs'!$Q$128:$Q$147,0.98)</f>
        <v>4247.1683023768983</v>
      </c>
      <c r="N25" s="132">
        <f>PERCENTILE('BART and RP Determination Costs'!$Q$128:$Q$147,0.95)</f>
        <v>3812.8438529182581</v>
      </c>
      <c r="O25" s="132">
        <f>PERCENTILE('BART and RP Determination Costs'!$Q$128:$Q$147,0.9)</f>
        <v>2655.0120916276665</v>
      </c>
      <c r="P25" s="132">
        <f>PERCENTILE('BART and RP Determination Costs'!$Q$128:$Q$147,0.85)</f>
        <v>2144.2601015472796</v>
      </c>
      <c r="Q25" s="132">
        <f>PERCENTILE('BART and RP Determination Costs'!$Q$128:$Q$147,0.8)</f>
        <v>1970.0390178911309</v>
      </c>
      <c r="R25" s="132">
        <f>PERCENTILE('BART and RP Determination Costs'!$Q$128:$Q$147,0.75)</f>
        <v>1922.8635325466314</v>
      </c>
      <c r="S25" s="132">
        <f>PERCENTILE('BART and RP Determination Costs'!$Q$128:$Q$147,0.7)</f>
        <v>1887.2404005592234</v>
      </c>
      <c r="T25" s="132">
        <f>PERCENTILE('BART and RP Determination Costs'!$Q$128:$Q$147,0.65)</f>
        <v>1723.341727847021</v>
      </c>
    </row>
    <row r="26" spans="1:20" x14ac:dyDescent="0.25">
      <c r="A26" s="24" t="s">
        <v>372</v>
      </c>
      <c r="B26" s="19" t="s">
        <v>442</v>
      </c>
      <c r="C26" s="20">
        <f>MIN('BART and RP Determination Costs'!Q148:Q160)</f>
        <v>513.97058823529414</v>
      </c>
      <c r="D26" s="20">
        <f>MAX('BART and RP Determination Costs'!Q148:Q160)</f>
        <v>4773.6300057482276</v>
      </c>
      <c r="E26" s="20">
        <f>AVERAGE('BART and RP Determination Costs'!Q148:Q160)</f>
        <v>1805.1812396665034</v>
      </c>
      <c r="F26" s="20">
        <f>STDEV('BART and RP Determination Costs'!Q148:Q160)</f>
        <v>1391.1222381040257</v>
      </c>
      <c r="G26" s="20">
        <f>F26/SQRT(COUNT('BART and RP Determination Costs'!Q148:Q160))</f>
        <v>385.82788922479148</v>
      </c>
      <c r="H26" s="120">
        <f t="shared" si="2"/>
        <v>4587.425715874555</v>
      </c>
      <c r="I26" s="20">
        <f>MEDIAN('BART and RP Determination Costs'!Q148:Q160)</f>
        <v>1244.561001410437</v>
      </c>
      <c r="J26" s="23">
        <f>COUNT('BART and RP Determination Costs'!Q148:Q160)</f>
        <v>13</v>
      </c>
      <c r="K26" s="19">
        <f>COUNTIF('BART and RP Determination Costs'!Q148:Q160,"&lt;="&amp;H26)</f>
        <v>11</v>
      </c>
      <c r="L26" s="22">
        <f>K26/J26</f>
        <v>0.84615384615384615</v>
      </c>
      <c r="M26" s="121">
        <f>PERCENTILE('BART and RP Determination Costs'!$Q$148:$Q$160,0.98)</f>
        <v>4747.3698026441843</v>
      </c>
      <c r="N26" s="121">
        <f>PERCENTILE('BART and RP Determination Costs'!$Q$148:$Q$160,0.95)</f>
        <v>4707.9794979881199</v>
      </c>
      <c r="O26" s="121">
        <f>PERCENTILE('BART and RP Determination Costs'!$Q$148:$Q$160,0.9)</f>
        <v>4159.093223810446</v>
      </c>
      <c r="P26" s="121">
        <f>PERCENTILE('BART and RP Determination Costs'!$Q$148:$Q$160,0.85)</f>
        <v>2643.7354167976314</v>
      </c>
      <c r="Q26" s="121">
        <f>PERCENTILE('BART and RP Determination Costs'!$Q$148:$Q$160,0.8)</f>
        <v>2099.9267272578741</v>
      </c>
      <c r="R26" s="121">
        <f>PERCENTILE('BART and RP Determination Costs'!$Q$148:$Q$160,0.75)</f>
        <v>2041.8925964546404</v>
      </c>
      <c r="S26" s="121">
        <f>PERCENTILE('BART and RP Determination Costs'!$Q$148:$Q$160,0.7)</f>
        <v>1987.2569517913685</v>
      </c>
      <c r="T26" s="121">
        <f>PERCENTILE('BART and RP Determination Costs'!$Q$148:$Q$160,0.65)</f>
        <v>1878.2375396562459</v>
      </c>
    </row>
    <row r="27" spans="1:20" x14ac:dyDescent="0.25">
      <c r="A27" s="24" t="s">
        <v>416</v>
      </c>
      <c r="B27" s="19" t="s">
        <v>442</v>
      </c>
      <c r="C27" s="20">
        <f>MIN('BART and RP Determination Costs'!Q161:Q162)</f>
        <v>912.14632876236772</v>
      </c>
      <c r="D27" s="20">
        <f>MAX('BART and RP Determination Costs'!Q161:Q162)</f>
        <v>1043.9593820517273</v>
      </c>
      <c r="E27" s="20">
        <f>AVERAGE('BART and RP Determination Costs'!Q161:Q162)</f>
        <v>978.05285540704745</v>
      </c>
      <c r="F27" s="20">
        <f>STDEV('BART and RP Determination Costs'!Q161:Q162)</f>
        <v>93.205903829809913</v>
      </c>
      <c r="G27" s="20">
        <f>F27/SQRT(COUNT('BART and RP Determination Costs'!Q161:Q162))</f>
        <v>65.906526644679786</v>
      </c>
      <c r="H27" s="120">
        <f t="shared" si="2"/>
        <v>1164.4646630666673</v>
      </c>
      <c r="I27" s="20">
        <f>MEDIAN('BART and RP Determination Costs'!Q161:Q162)</f>
        <v>978.05285540704745</v>
      </c>
      <c r="J27" s="23">
        <f>COUNT('BART and RP Determination Costs'!Q161:Q162)</f>
        <v>2</v>
      </c>
      <c r="K27" s="19">
        <f>COUNTIF('BART and RP Determination Costs'!Q161:Q162,"&lt;="&amp;H27)</f>
        <v>2</v>
      </c>
      <c r="L27" s="22">
        <f t="shared" si="1"/>
        <v>1</v>
      </c>
      <c r="M27" s="121">
        <f>PERCENTILE('BART and RP Determination Costs'!$Q$161:$Q$162,0.98)</f>
        <v>1041.32312098594</v>
      </c>
      <c r="N27" s="121">
        <f>PERCENTILE('BART and RP Determination Costs'!$Q$161:$Q$162,0.95)</f>
        <v>1037.3687293872592</v>
      </c>
      <c r="O27" s="121">
        <f>PERCENTILE('BART and RP Determination Costs'!$Q$161:$Q$162,0.9)</f>
        <v>1030.7780767227914</v>
      </c>
      <c r="P27" s="121">
        <f>PERCENTILE('BART and RP Determination Costs'!$Q$161:$Q$162,0.85)</f>
        <v>1024.1874240583234</v>
      </c>
      <c r="Q27" s="121">
        <f>PERCENTILE('BART and RP Determination Costs'!$Q$161:$Q$162,0.8)</f>
        <v>1017.5967713938554</v>
      </c>
      <c r="R27" s="121">
        <f>PERCENTILE('BART and RP Determination Costs'!$Q$161:$Q$162,0.75)</f>
        <v>1011.0061187293874</v>
      </c>
      <c r="S27" s="121">
        <f>PERCENTILE('BART and RP Determination Costs'!$Q$161:$Q$162,0.7)</f>
        <v>1004.4154660649194</v>
      </c>
      <c r="T27" s="121">
        <f>PERCENTILE('BART and RP Determination Costs'!$Q$161:$Q$162,0.65)</f>
        <v>997.82481340045138</v>
      </c>
    </row>
    <row r="28" spans="1:20" x14ac:dyDescent="0.25">
      <c r="A28" s="141" t="s">
        <v>546</v>
      </c>
      <c r="B28" s="142" t="s">
        <v>442</v>
      </c>
      <c r="C28" s="136">
        <f>MIN('BART and RP Determination Costs'!Q128:Q162)</f>
        <v>427.81690140845075</v>
      </c>
      <c r="D28" s="136">
        <f>MAX('BART and RP Determination Costs'!Q128:Q162)</f>
        <v>4773.6300057482276</v>
      </c>
      <c r="E28" s="136">
        <f>AVERAGE('BART and RP Determination Costs'!Q128:Q162)</f>
        <v>1627.0450547054916</v>
      </c>
      <c r="F28" s="136">
        <f>STDEV('BART and RP Determination Costs'!Q128:Q162)</f>
        <v>1167.0715759278712</v>
      </c>
      <c r="G28" s="136">
        <f>F28/SQRT(COUNT('BART and RP Determination Costs'!Q128:Q162))</f>
        <v>200.15112403166799</v>
      </c>
      <c r="H28" s="137">
        <f>E28+2*F28</f>
        <v>3961.188206561234</v>
      </c>
      <c r="I28" s="136">
        <f>MEDIAN('BART and RP Determination Costs'!Q128:Q162)</f>
        <v>1270.1143177588615</v>
      </c>
      <c r="J28" s="138">
        <f>COUNT('BART and RP Determination Costs'!Q128:Q162)</f>
        <v>34</v>
      </c>
      <c r="K28" s="135">
        <f>COUNTIF('BART and RP Determination Costs'!Q128:Q162,"&lt;="&amp;H28)</f>
        <v>31</v>
      </c>
      <c r="L28" s="139">
        <f t="shared" si="1"/>
        <v>0.91176470588235292</v>
      </c>
      <c r="M28" s="140">
        <f>PERCENTILE('BART and RP Determination Costs'!$Q$128:$Q$162,0.98)</f>
        <v>4701.4144472121088</v>
      </c>
      <c r="N28" s="140">
        <f>PERCENTILE('BART and RP Determination Costs'!$Q$128:$Q$162,0.95)</f>
        <v>4581.3410304622093</v>
      </c>
      <c r="O28" s="140">
        <f>PERCENTILE('BART and RP Determination Costs'!$Q$128:$Q$162,0.9)</f>
        <v>3328.3879089321299</v>
      </c>
      <c r="P28" s="140">
        <f>PERCENTILE('BART and RP Determination Costs'!$Q$128:$Q$162,0.85)</f>
        <v>2150.9684286389888</v>
      </c>
      <c r="Q28" s="140">
        <f>PERCENTILE('BART and RP Determination Costs'!$Q$128:$Q$162,0.8)</f>
        <v>2041.2383861265841</v>
      </c>
      <c r="R28" s="140">
        <f>PERCENTILE('BART and RP Determination Costs'!$Q$128:$Q$162,0.75)</f>
        <v>1943.8407746485482</v>
      </c>
      <c r="S28" s="140">
        <f>PERCENTILE('BART and RP Determination Costs'!$Q$128:$Q$162,0.7)</f>
        <v>1922.8635325466314</v>
      </c>
      <c r="T28" s="140">
        <f>PERCENTILE('BART and RP Determination Costs'!$Q$128:$Q$162,0.65)</f>
        <v>1698.5327851132804</v>
      </c>
    </row>
    <row r="29" spans="1:20" x14ac:dyDescent="0.25">
      <c r="A29" s="143" t="s">
        <v>447</v>
      </c>
      <c r="B29" s="143" t="s">
        <v>442</v>
      </c>
      <c r="C29" s="144">
        <f>MIN('BART and RP Determination Costs'!Q3:Q162)</f>
        <v>-56.818756319514655</v>
      </c>
      <c r="D29" s="144">
        <f>MAX('BART and RP Determination Costs'!Q3:Q162)</f>
        <v>8249.9871707150178</v>
      </c>
      <c r="E29" s="144">
        <f>AVERAGE('BART and RP Determination Costs'!Q3:Q162)</f>
        <v>2059.6611176972738</v>
      </c>
      <c r="F29" s="144">
        <f>STDEV('BART and RP Determination Costs'!Q3:Q162)</f>
        <v>1582.2417640329802</v>
      </c>
      <c r="G29" s="144">
        <f>F29/SQRT(COUNT('BART and RP Determination Costs'!Q3:Q162))</f>
        <v>125.47993399558285</v>
      </c>
      <c r="H29" s="145">
        <f t="shared" si="2"/>
        <v>5224.1446457632337</v>
      </c>
      <c r="I29" s="144">
        <f>MEDIAN('BART and RP Determination Costs'!Q3:Q162)</f>
        <v>1731.5452361889511</v>
      </c>
      <c r="J29" s="146">
        <f>COUNT('BART and RP Determination Costs'!Q3:Q162)</f>
        <v>159</v>
      </c>
      <c r="K29" s="143">
        <f>COUNTIF('BART and RP Determination Costs'!Q3:Q162,"&lt;="&amp;H29)</f>
        <v>155</v>
      </c>
      <c r="L29" s="147">
        <f t="shared" si="1"/>
        <v>0.97484276729559749</v>
      </c>
      <c r="M29" s="148">
        <f>PERCENTILE('BART and RP Determination Costs'!$Q$3:$Q$162,0.98)</f>
        <v>5590.022426856578</v>
      </c>
      <c r="N29" s="148">
        <f>PERCENTILE('BART and RP Determination Costs'!$Q$3:$Q$162,0.95)</f>
        <v>4965.0416307273517</v>
      </c>
      <c r="O29" s="148">
        <f>PERCENTILE('BART and RP Determination Costs'!$Q$3:$Q$162,0.9)</f>
        <v>4356.9836092223513</v>
      </c>
      <c r="P29" s="148">
        <f>PERCENTILE('BART and RP Determination Costs'!$Q$3:$Q$162,0.85)</f>
        <v>3659.6298836348237</v>
      </c>
      <c r="Q29" s="148">
        <f>PERCENTILE('BART and RP Determination Costs'!$Q$3:$Q$162,0.8)</f>
        <v>3330.1971214333348</v>
      </c>
      <c r="R29" s="148">
        <f>PERCENTILE('BART and RP Determination Costs'!$Q$3:$Q$162,0.75)</f>
        <v>3086.7679699504865</v>
      </c>
      <c r="S29" s="148">
        <f>PERCENTILE('BART and RP Determination Costs'!$Q$3:$Q$162,0.7)</f>
        <v>2673.252523695166</v>
      </c>
      <c r="T29" s="148">
        <f>PERCENTILE('BART and RP Determination Costs'!$Q$3:$Q$162,0.65)</f>
        <v>2397.2112876134661</v>
      </c>
    </row>
  </sheetData>
  <mergeCells count="3">
    <mergeCell ref="C1:H1"/>
    <mergeCell ref="A3:A6"/>
    <mergeCell ref="A7:A10"/>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93"/>
  <sheetViews>
    <sheetView zoomScale="80" zoomScaleNormal="80" workbookViewId="0">
      <pane ySplit="2" topLeftCell="A156" activePane="bottomLeft" state="frozen"/>
      <selection pane="bottomLeft" activeCell="E168" sqref="E168"/>
    </sheetView>
  </sheetViews>
  <sheetFormatPr defaultColWidth="8.85546875" defaultRowHeight="15.75" x14ac:dyDescent="0.25"/>
  <cols>
    <col min="1" max="1" width="8.140625" style="5" bestFit="1" customWidth="1"/>
    <col min="2" max="2" width="27.5703125" style="51" customWidth="1"/>
    <col min="3" max="3" width="30.140625" style="6" customWidth="1"/>
    <col min="4" max="4" width="13.7109375" style="5" customWidth="1"/>
    <col min="5" max="5" width="31.7109375" style="7" customWidth="1"/>
    <col min="6" max="6" width="39.140625" style="6" customWidth="1"/>
    <col min="7" max="7" width="36.7109375" style="6" customWidth="1"/>
    <col min="8" max="9" width="24.140625" style="6" customWidth="1"/>
    <col min="10" max="10" width="9.85546875" style="9" bestFit="1" customWidth="1"/>
    <col min="11" max="11" width="11.5703125" style="5" bestFit="1" customWidth="1"/>
    <col min="12" max="12" width="13.85546875" style="5" customWidth="1"/>
    <col min="13" max="13" width="13.42578125" style="8" customWidth="1"/>
    <col min="14" max="14" width="7.28515625" style="6" customWidth="1"/>
    <col min="15" max="15" width="28" style="6" customWidth="1"/>
    <col min="16" max="16" width="9.140625" style="6" bestFit="1" customWidth="1"/>
    <col min="17" max="17" width="35.7109375" style="6" customWidth="1"/>
    <col min="18" max="18" width="42.140625" style="5" customWidth="1"/>
    <col min="19" max="16384" width="8.85546875" style="6"/>
  </cols>
  <sheetData>
    <row r="1" spans="1:18" s="2" customFormat="1" x14ac:dyDescent="0.25">
      <c r="A1" s="1" t="s">
        <v>0</v>
      </c>
      <c r="B1" s="52"/>
      <c r="D1" s="1"/>
      <c r="E1" s="3"/>
      <c r="J1" s="4"/>
      <c r="K1" s="1"/>
      <c r="L1" s="1"/>
      <c r="M1" s="4"/>
      <c r="R1" s="1"/>
    </row>
    <row r="2" spans="1:18" s="49" customFormat="1" ht="87.75" customHeight="1" x14ac:dyDescent="0.25">
      <c r="A2" s="53" t="s">
        <v>1</v>
      </c>
      <c r="B2" s="53" t="s">
        <v>2</v>
      </c>
      <c r="C2" s="53" t="s">
        <v>3</v>
      </c>
      <c r="D2" s="53" t="s">
        <v>4</v>
      </c>
      <c r="E2" s="53" t="s">
        <v>5</v>
      </c>
      <c r="F2" s="53" t="s">
        <v>6</v>
      </c>
      <c r="G2" s="53" t="s">
        <v>7</v>
      </c>
      <c r="H2" s="53" t="s">
        <v>8</v>
      </c>
      <c r="I2" s="53" t="s">
        <v>9</v>
      </c>
      <c r="J2" s="53" t="s">
        <v>10</v>
      </c>
      <c r="K2" s="53" t="s">
        <v>11</v>
      </c>
      <c r="L2" s="53" t="s">
        <v>12</v>
      </c>
      <c r="M2" s="53" t="s">
        <v>13</v>
      </c>
      <c r="N2" s="53" t="s">
        <v>14</v>
      </c>
      <c r="O2" s="53" t="s">
        <v>15</v>
      </c>
      <c r="P2" s="53" t="s">
        <v>16</v>
      </c>
      <c r="Q2" s="53" t="s">
        <v>17</v>
      </c>
      <c r="R2" s="53" t="s">
        <v>18</v>
      </c>
    </row>
    <row r="3" spans="1:18" ht="94.5" x14ac:dyDescent="0.25">
      <c r="A3" s="54" t="s">
        <v>19</v>
      </c>
      <c r="B3" s="55" t="s">
        <v>20</v>
      </c>
      <c r="C3" s="55" t="s">
        <v>21</v>
      </c>
      <c r="D3" s="54">
        <v>221112</v>
      </c>
      <c r="E3" s="55" t="s">
        <v>22</v>
      </c>
      <c r="F3" s="56" t="s">
        <v>23</v>
      </c>
      <c r="G3" s="55" t="s">
        <v>24</v>
      </c>
      <c r="H3" s="55" t="s">
        <v>25</v>
      </c>
      <c r="I3" s="55" t="s">
        <v>26</v>
      </c>
      <c r="J3" s="54">
        <v>25</v>
      </c>
      <c r="K3" s="54" t="s">
        <v>27</v>
      </c>
      <c r="L3" s="57">
        <v>3125</v>
      </c>
      <c r="M3" s="54">
        <v>2009</v>
      </c>
      <c r="N3" s="54" t="s">
        <v>28</v>
      </c>
      <c r="O3" s="55" t="s">
        <v>29</v>
      </c>
      <c r="P3" s="58">
        <f>VLOOKUP(M3,'CEPCI Index'!$A$2:$C$23,3,FALSE)</f>
        <v>1.1640160950373635</v>
      </c>
      <c r="Q3" s="59">
        <f t="shared" ref="Q3:Q34" si="0">L3*P3</f>
        <v>3637.5502969917607</v>
      </c>
      <c r="R3" s="54" t="s">
        <v>30</v>
      </c>
    </row>
    <row r="4" spans="1:18" ht="47.25" x14ac:dyDescent="0.25">
      <c r="A4" s="54" t="s">
        <v>31</v>
      </c>
      <c r="B4" s="55" t="s">
        <v>32</v>
      </c>
      <c r="C4" s="55" t="s">
        <v>33</v>
      </c>
      <c r="D4" s="54">
        <v>221112</v>
      </c>
      <c r="E4" s="55" t="s">
        <v>22</v>
      </c>
      <c r="F4" s="54" t="s">
        <v>23</v>
      </c>
      <c r="G4" s="55" t="s">
        <v>34</v>
      </c>
      <c r="H4" s="55" t="s">
        <v>35</v>
      </c>
      <c r="I4" s="55" t="s">
        <v>36</v>
      </c>
      <c r="J4" s="54">
        <v>122</v>
      </c>
      <c r="K4" s="54" t="s">
        <v>27</v>
      </c>
      <c r="L4" s="57">
        <v>2559</v>
      </c>
      <c r="M4" s="54">
        <v>2011</v>
      </c>
      <c r="N4" s="54" t="s">
        <v>28</v>
      </c>
      <c r="O4" s="55"/>
      <c r="P4" s="58">
        <f>VLOOKUP(M4,'CEPCI Index'!$A$2:$C$23,3,FALSE)</f>
        <v>1.0372204200102442</v>
      </c>
      <c r="Q4" s="59">
        <f t="shared" si="0"/>
        <v>2654.2470548062147</v>
      </c>
      <c r="R4" s="54" t="s">
        <v>30</v>
      </c>
    </row>
    <row r="5" spans="1:18" ht="47.25" x14ac:dyDescent="0.25">
      <c r="A5" s="54" t="s">
        <v>31</v>
      </c>
      <c r="B5" s="55" t="s">
        <v>32</v>
      </c>
      <c r="C5" s="55" t="s">
        <v>37</v>
      </c>
      <c r="D5" s="54">
        <v>221112</v>
      </c>
      <c r="E5" s="55" t="s">
        <v>22</v>
      </c>
      <c r="F5" s="54" t="s">
        <v>23</v>
      </c>
      <c r="G5" s="55" t="s">
        <v>34</v>
      </c>
      <c r="H5" s="55" t="s">
        <v>35</v>
      </c>
      <c r="I5" s="55" t="s">
        <v>36</v>
      </c>
      <c r="J5" s="54">
        <v>122</v>
      </c>
      <c r="K5" s="54" t="s">
        <v>27</v>
      </c>
      <c r="L5" s="57">
        <v>4553</v>
      </c>
      <c r="M5" s="54">
        <v>2011</v>
      </c>
      <c r="N5" s="54" t="s">
        <v>28</v>
      </c>
      <c r="O5" s="55"/>
      <c r="P5" s="58">
        <f>VLOOKUP(M5,'CEPCI Index'!$A$2:$C$23,3,FALSE)</f>
        <v>1.0372204200102442</v>
      </c>
      <c r="Q5" s="59">
        <f t="shared" si="0"/>
        <v>4722.4645723066415</v>
      </c>
      <c r="R5" s="54" t="s">
        <v>30</v>
      </c>
    </row>
    <row r="6" spans="1:18" ht="63" x14ac:dyDescent="0.25">
      <c r="A6" s="54" t="s">
        <v>38</v>
      </c>
      <c r="B6" s="55" t="s">
        <v>39</v>
      </c>
      <c r="C6" s="55" t="s">
        <v>40</v>
      </c>
      <c r="D6" s="54">
        <v>221112</v>
      </c>
      <c r="E6" s="55" t="s">
        <v>22</v>
      </c>
      <c r="F6" s="56" t="s">
        <v>41</v>
      </c>
      <c r="G6" s="55" t="s">
        <v>42</v>
      </c>
      <c r="H6" s="55" t="s">
        <v>43</v>
      </c>
      <c r="I6" s="55" t="s">
        <v>26</v>
      </c>
      <c r="J6" s="54">
        <v>20.399999999999999</v>
      </c>
      <c r="K6" s="54" t="s">
        <v>27</v>
      </c>
      <c r="L6" s="57">
        <v>3450</v>
      </c>
      <c r="M6" s="54">
        <v>2011</v>
      </c>
      <c r="N6" s="54" t="s">
        <v>28</v>
      </c>
      <c r="O6" s="55" t="s">
        <v>44</v>
      </c>
      <c r="P6" s="58">
        <f>VLOOKUP(M6,'CEPCI Index'!$A$2:$C$23,3,FALSE)</f>
        <v>1.0372204200102442</v>
      </c>
      <c r="Q6" s="59">
        <f t="shared" si="0"/>
        <v>3578.4104490353425</v>
      </c>
      <c r="R6" s="54" t="s">
        <v>30</v>
      </c>
    </row>
    <row r="7" spans="1:18" ht="63" x14ac:dyDescent="0.25">
      <c r="A7" s="54" t="s">
        <v>38</v>
      </c>
      <c r="B7" s="55" t="s">
        <v>45</v>
      </c>
      <c r="C7" s="55" t="s">
        <v>40</v>
      </c>
      <c r="D7" s="54">
        <v>221112</v>
      </c>
      <c r="E7" s="55" t="s">
        <v>22</v>
      </c>
      <c r="F7" s="56" t="s">
        <v>46</v>
      </c>
      <c r="G7" s="55" t="s">
        <v>47</v>
      </c>
      <c r="H7" s="55" t="s">
        <v>43</v>
      </c>
      <c r="I7" s="55" t="s">
        <v>26</v>
      </c>
      <c r="J7" s="54">
        <v>78.8</v>
      </c>
      <c r="K7" s="54" t="s">
        <v>27</v>
      </c>
      <c r="L7" s="57">
        <v>2973</v>
      </c>
      <c r="M7" s="54">
        <v>2011</v>
      </c>
      <c r="N7" s="54" t="s">
        <v>28</v>
      </c>
      <c r="O7" s="55" t="s">
        <v>44</v>
      </c>
      <c r="P7" s="58">
        <f>VLOOKUP(M7,'CEPCI Index'!$A$2:$C$23,3,FALSE)</f>
        <v>1.0372204200102442</v>
      </c>
      <c r="Q7" s="59">
        <f t="shared" si="0"/>
        <v>3083.6563086904557</v>
      </c>
      <c r="R7" s="54" t="s">
        <v>30</v>
      </c>
    </row>
    <row r="8" spans="1:18" ht="63" x14ac:dyDescent="0.25">
      <c r="A8" s="54" t="s">
        <v>38</v>
      </c>
      <c r="B8" s="55" t="s">
        <v>48</v>
      </c>
      <c r="C8" s="55" t="s">
        <v>49</v>
      </c>
      <c r="D8" s="54">
        <v>221112</v>
      </c>
      <c r="E8" s="55" t="s">
        <v>22</v>
      </c>
      <c r="F8" s="56" t="s">
        <v>50</v>
      </c>
      <c r="G8" s="55" t="s">
        <v>51</v>
      </c>
      <c r="H8" s="55" t="s">
        <v>52</v>
      </c>
      <c r="I8" s="55" t="s">
        <v>26</v>
      </c>
      <c r="J8" s="54">
        <v>156</v>
      </c>
      <c r="K8" s="54" t="s">
        <v>27</v>
      </c>
      <c r="L8" s="57">
        <v>3222</v>
      </c>
      <c r="M8" s="54">
        <v>2013</v>
      </c>
      <c r="N8" s="54" t="s">
        <v>28</v>
      </c>
      <c r="O8" s="55" t="s">
        <v>44</v>
      </c>
      <c r="P8" s="58">
        <f>VLOOKUP(M8,'CEPCI Index'!$A$2:$C$23,3,FALSE)</f>
        <v>1.0710507757404795</v>
      </c>
      <c r="Q8" s="59">
        <f t="shared" si="0"/>
        <v>3450.925599435825</v>
      </c>
      <c r="R8" s="54" t="s">
        <v>30</v>
      </c>
    </row>
    <row r="9" spans="1:18" ht="63" x14ac:dyDescent="0.25">
      <c r="A9" s="54" t="s">
        <v>38</v>
      </c>
      <c r="B9" s="55" t="s">
        <v>48</v>
      </c>
      <c r="C9" s="55" t="s">
        <v>49</v>
      </c>
      <c r="D9" s="54">
        <v>221112</v>
      </c>
      <c r="E9" s="55" t="s">
        <v>22</v>
      </c>
      <c r="F9" s="56" t="s">
        <v>50</v>
      </c>
      <c r="G9" s="55" t="s">
        <v>51</v>
      </c>
      <c r="H9" s="55" t="s">
        <v>53</v>
      </c>
      <c r="I9" s="55" t="s">
        <v>26</v>
      </c>
      <c r="J9" s="54">
        <v>156</v>
      </c>
      <c r="K9" s="54" t="s">
        <v>27</v>
      </c>
      <c r="L9" s="57">
        <v>1857</v>
      </c>
      <c r="M9" s="54">
        <v>2013</v>
      </c>
      <c r="N9" s="54" t="s">
        <v>28</v>
      </c>
      <c r="O9" s="55" t="s">
        <v>44</v>
      </c>
      <c r="P9" s="58">
        <f>VLOOKUP(M9,'CEPCI Index'!$A$2:$C$23,3,FALSE)</f>
        <v>1.0710507757404795</v>
      </c>
      <c r="Q9" s="59">
        <f t="shared" si="0"/>
        <v>1988.9412905500703</v>
      </c>
      <c r="R9" s="54" t="s">
        <v>30</v>
      </c>
    </row>
    <row r="10" spans="1:18" ht="63" x14ac:dyDescent="0.25">
      <c r="A10" s="54" t="s">
        <v>54</v>
      </c>
      <c r="B10" s="60" t="s">
        <v>55</v>
      </c>
      <c r="C10" s="55" t="s">
        <v>56</v>
      </c>
      <c r="D10" s="54">
        <v>221112</v>
      </c>
      <c r="E10" s="55" t="s">
        <v>22</v>
      </c>
      <c r="F10" s="54" t="s">
        <v>57</v>
      </c>
      <c r="G10" s="55" t="s">
        <v>58</v>
      </c>
      <c r="H10" s="55" t="s">
        <v>59</v>
      </c>
      <c r="I10" s="55" t="s">
        <v>26</v>
      </c>
      <c r="J10" s="54">
        <v>190</v>
      </c>
      <c r="K10" s="54" t="s">
        <v>27</v>
      </c>
      <c r="L10" s="57">
        <v>3385</v>
      </c>
      <c r="M10" s="54">
        <v>2008</v>
      </c>
      <c r="N10" s="54" t="s">
        <v>28</v>
      </c>
      <c r="O10" s="55" t="s">
        <v>44</v>
      </c>
      <c r="P10" s="58">
        <f>VLOOKUP(M10,'CEPCI Index'!$A$2:$C$23,3,FALSE)</f>
        <v>1.0557872784150157</v>
      </c>
      <c r="Q10" s="59">
        <f t="shared" si="0"/>
        <v>3573.8399374348282</v>
      </c>
      <c r="R10" s="54" t="s">
        <v>30</v>
      </c>
    </row>
    <row r="11" spans="1:18" ht="63" x14ac:dyDescent="0.25">
      <c r="A11" s="54" t="s">
        <v>54</v>
      </c>
      <c r="B11" s="60" t="s">
        <v>55</v>
      </c>
      <c r="C11" s="55" t="s">
        <v>60</v>
      </c>
      <c r="D11" s="54">
        <v>221112</v>
      </c>
      <c r="E11" s="55" t="s">
        <v>22</v>
      </c>
      <c r="F11" s="54" t="s">
        <v>61</v>
      </c>
      <c r="G11" s="55" t="s">
        <v>62</v>
      </c>
      <c r="H11" s="55" t="s">
        <v>63</v>
      </c>
      <c r="I11" s="55" t="s">
        <v>64</v>
      </c>
      <c r="J11" s="54">
        <v>142</v>
      </c>
      <c r="K11" s="54" t="s">
        <v>27</v>
      </c>
      <c r="L11" s="57">
        <v>662</v>
      </c>
      <c r="M11" s="54">
        <v>2008</v>
      </c>
      <c r="N11" s="54" t="s">
        <v>28</v>
      </c>
      <c r="O11" s="55" t="s">
        <v>44</v>
      </c>
      <c r="P11" s="58">
        <f>VLOOKUP(M11,'CEPCI Index'!$A$2:$C$23,3,FALSE)</f>
        <v>1.0557872784150157</v>
      </c>
      <c r="Q11" s="59">
        <f t="shared" si="0"/>
        <v>698.93117831074039</v>
      </c>
      <c r="R11" s="54" t="s">
        <v>30</v>
      </c>
    </row>
    <row r="12" spans="1:18" ht="63" x14ac:dyDescent="0.25">
      <c r="A12" s="54" t="s">
        <v>54</v>
      </c>
      <c r="B12" s="60" t="s">
        <v>55</v>
      </c>
      <c r="C12" s="55" t="s">
        <v>65</v>
      </c>
      <c r="D12" s="54">
        <v>221112</v>
      </c>
      <c r="E12" s="55" t="s">
        <v>22</v>
      </c>
      <c r="F12" s="54" t="s">
        <v>66</v>
      </c>
      <c r="G12" s="55" t="s">
        <v>67</v>
      </c>
      <c r="H12" s="55" t="s">
        <v>68</v>
      </c>
      <c r="I12" s="55" t="s">
        <v>26</v>
      </c>
      <c r="J12" s="54">
        <v>65</v>
      </c>
      <c r="K12" s="54" t="s">
        <v>27</v>
      </c>
      <c r="L12" s="61">
        <v>4919</v>
      </c>
      <c r="M12" s="54">
        <v>2008</v>
      </c>
      <c r="N12" s="54" t="s">
        <v>28</v>
      </c>
      <c r="O12" s="55" t="s">
        <v>44</v>
      </c>
      <c r="P12" s="58">
        <f>VLOOKUP(M12,'CEPCI Index'!$A$2:$C$23,3,FALSE)</f>
        <v>1.0557872784150157</v>
      </c>
      <c r="Q12" s="59">
        <f t="shared" si="0"/>
        <v>5193.4176225234623</v>
      </c>
      <c r="R12" s="54" t="s">
        <v>30</v>
      </c>
    </row>
    <row r="13" spans="1:18" ht="63" x14ac:dyDescent="0.25">
      <c r="A13" s="54" t="s">
        <v>54</v>
      </c>
      <c r="B13" s="60" t="s">
        <v>55</v>
      </c>
      <c r="C13" s="55" t="s">
        <v>60</v>
      </c>
      <c r="D13" s="54">
        <v>221112</v>
      </c>
      <c r="E13" s="55" t="s">
        <v>22</v>
      </c>
      <c r="F13" s="54" t="s">
        <v>69</v>
      </c>
      <c r="G13" s="55" t="s">
        <v>70</v>
      </c>
      <c r="H13" s="55" t="s">
        <v>71</v>
      </c>
      <c r="I13" s="55" t="s">
        <v>64</v>
      </c>
      <c r="J13" s="54">
        <v>85</v>
      </c>
      <c r="K13" s="54" t="s">
        <v>27</v>
      </c>
      <c r="L13" s="57">
        <v>2816</v>
      </c>
      <c r="M13" s="54">
        <v>2008</v>
      </c>
      <c r="N13" s="54" t="s">
        <v>28</v>
      </c>
      <c r="O13" s="55" t="s">
        <v>44</v>
      </c>
      <c r="P13" s="58">
        <f>VLOOKUP(M13,'CEPCI Index'!$A$2:$C$23,3,FALSE)</f>
        <v>1.0557872784150157</v>
      </c>
      <c r="Q13" s="59">
        <f t="shared" si="0"/>
        <v>2973.0969760166845</v>
      </c>
      <c r="R13" s="54" t="s">
        <v>30</v>
      </c>
    </row>
    <row r="14" spans="1:18" ht="63" x14ac:dyDescent="0.25">
      <c r="A14" s="54" t="s">
        <v>54</v>
      </c>
      <c r="B14" s="60" t="s">
        <v>55</v>
      </c>
      <c r="C14" s="55" t="s">
        <v>60</v>
      </c>
      <c r="D14" s="54">
        <v>221112</v>
      </c>
      <c r="E14" s="55" t="s">
        <v>22</v>
      </c>
      <c r="F14" s="56" t="s">
        <v>72</v>
      </c>
      <c r="G14" s="55" t="s">
        <v>62</v>
      </c>
      <c r="H14" s="55" t="s">
        <v>73</v>
      </c>
      <c r="I14" s="55" t="s">
        <v>64</v>
      </c>
      <c r="J14" s="54">
        <v>142</v>
      </c>
      <c r="K14" s="54" t="s">
        <v>27</v>
      </c>
      <c r="L14" s="57">
        <v>2544</v>
      </c>
      <c r="M14" s="54">
        <v>2008</v>
      </c>
      <c r="N14" s="54" t="s">
        <v>28</v>
      </c>
      <c r="O14" s="55" t="s">
        <v>44</v>
      </c>
      <c r="P14" s="58">
        <f>VLOOKUP(M14,'CEPCI Index'!$A$2:$C$23,3,FALSE)</f>
        <v>1.0557872784150157</v>
      </c>
      <c r="Q14" s="59">
        <f t="shared" si="0"/>
        <v>2685.9228362878002</v>
      </c>
      <c r="R14" s="54" t="s">
        <v>30</v>
      </c>
    </row>
    <row r="15" spans="1:18" ht="63" x14ac:dyDescent="0.25">
      <c r="A15" s="54" t="s">
        <v>54</v>
      </c>
      <c r="B15" s="60" t="s">
        <v>55</v>
      </c>
      <c r="C15" s="55" t="s">
        <v>56</v>
      </c>
      <c r="D15" s="54">
        <v>221112</v>
      </c>
      <c r="E15" s="55" t="s">
        <v>22</v>
      </c>
      <c r="F15" s="56" t="s">
        <v>74</v>
      </c>
      <c r="G15" s="55" t="s">
        <v>58</v>
      </c>
      <c r="H15" s="55" t="s">
        <v>75</v>
      </c>
      <c r="I15" s="55" t="s">
        <v>26</v>
      </c>
      <c r="J15" s="54">
        <v>190</v>
      </c>
      <c r="K15" s="54" t="s">
        <v>27</v>
      </c>
      <c r="L15" s="57">
        <v>2318</v>
      </c>
      <c r="M15" s="54">
        <v>2008</v>
      </c>
      <c r="N15" s="54" t="s">
        <v>28</v>
      </c>
      <c r="O15" s="55" t="s">
        <v>44</v>
      </c>
      <c r="P15" s="58">
        <f>VLOOKUP(M15,'CEPCI Index'!$A$2:$C$23,3,FALSE)</f>
        <v>1.0557872784150157</v>
      </c>
      <c r="Q15" s="59">
        <f t="shared" si="0"/>
        <v>2447.3149113660065</v>
      </c>
      <c r="R15" s="54" t="s">
        <v>30</v>
      </c>
    </row>
    <row r="16" spans="1:18" ht="94.5" x14ac:dyDescent="0.25">
      <c r="A16" s="54" t="s">
        <v>76</v>
      </c>
      <c r="B16" s="55" t="s">
        <v>77</v>
      </c>
      <c r="C16" s="55" t="s">
        <v>78</v>
      </c>
      <c r="D16" s="54">
        <v>221112</v>
      </c>
      <c r="E16" s="55" t="s">
        <v>22</v>
      </c>
      <c r="F16" s="54" t="s">
        <v>41</v>
      </c>
      <c r="G16" s="55" t="s">
        <v>79</v>
      </c>
      <c r="H16" s="55" t="s">
        <v>80</v>
      </c>
      <c r="I16" s="55" t="s">
        <v>36</v>
      </c>
      <c r="J16" s="54">
        <v>136</v>
      </c>
      <c r="K16" s="54" t="s">
        <v>27</v>
      </c>
      <c r="L16" s="57">
        <v>-37</v>
      </c>
      <c r="M16" s="54">
        <v>2002</v>
      </c>
      <c r="N16" s="54" t="s">
        <v>81</v>
      </c>
      <c r="O16" s="55"/>
      <c r="P16" s="58">
        <f>VLOOKUP(M16,'CEPCI Index'!$A$2:$C$23,3,FALSE)</f>
        <v>1.5356420626895853</v>
      </c>
      <c r="Q16" s="59">
        <f t="shared" si="0"/>
        <v>-56.818756319514655</v>
      </c>
      <c r="R16" s="54" t="s">
        <v>30</v>
      </c>
    </row>
    <row r="17" spans="1:18" ht="94.5" x14ac:dyDescent="0.25">
      <c r="A17" s="54" t="s">
        <v>76</v>
      </c>
      <c r="B17" s="55" t="s">
        <v>77</v>
      </c>
      <c r="C17" s="55" t="s">
        <v>82</v>
      </c>
      <c r="D17" s="54">
        <v>221112</v>
      </c>
      <c r="E17" s="55" t="s">
        <v>22</v>
      </c>
      <c r="F17" s="54" t="s">
        <v>83</v>
      </c>
      <c r="G17" s="55" t="s">
        <v>84</v>
      </c>
      <c r="H17" s="55" t="s">
        <v>85</v>
      </c>
      <c r="I17" s="55" t="s">
        <v>26</v>
      </c>
      <c r="J17" s="54">
        <v>49</v>
      </c>
      <c r="K17" s="54" t="s">
        <v>27</v>
      </c>
      <c r="L17" s="57">
        <v>989</v>
      </c>
      <c r="M17" s="54">
        <v>2002</v>
      </c>
      <c r="N17" s="54" t="s">
        <v>81</v>
      </c>
      <c r="O17" s="55"/>
      <c r="P17" s="58">
        <f>VLOOKUP(M17,'CEPCI Index'!$A$2:$C$23,3,FALSE)</f>
        <v>1.5356420626895853</v>
      </c>
      <c r="Q17" s="59">
        <f t="shared" si="0"/>
        <v>1518.7499999999998</v>
      </c>
      <c r="R17" s="54" t="s">
        <v>30</v>
      </c>
    </row>
    <row r="18" spans="1:18" ht="94.5" x14ac:dyDescent="0.25">
      <c r="A18" s="54" t="s">
        <v>76</v>
      </c>
      <c r="B18" s="55" t="s">
        <v>77</v>
      </c>
      <c r="C18" s="55" t="s">
        <v>82</v>
      </c>
      <c r="D18" s="54">
        <v>221112</v>
      </c>
      <c r="E18" s="55" t="s">
        <v>22</v>
      </c>
      <c r="F18" s="54" t="s">
        <v>50</v>
      </c>
      <c r="G18" s="55" t="s">
        <v>86</v>
      </c>
      <c r="H18" s="55" t="s">
        <v>85</v>
      </c>
      <c r="I18" s="55" t="s">
        <v>26</v>
      </c>
      <c r="J18" s="54">
        <v>114</v>
      </c>
      <c r="K18" s="54" t="s">
        <v>27</v>
      </c>
      <c r="L18" s="57">
        <v>989</v>
      </c>
      <c r="M18" s="54">
        <v>2002</v>
      </c>
      <c r="N18" s="54" t="s">
        <v>81</v>
      </c>
      <c r="O18" s="55"/>
      <c r="P18" s="58">
        <f>VLOOKUP(M18,'CEPCI Index'!$A$2:$C$23,3,FALSE)</f>
        <v>1.5356420626895853</v>
      </c>
      <c r="Q18" s="59">
        <f t="shared" si="0"/>
        <v>1518.7499999999998</v>
      </c>
      <c r="R18" s="54" t="s">
        <v>30</v>
      </c>
    </row>
    <row r="19" spans="1:18" ht="94.5" x14ac:dyDescent="0.25">
      <c r="A19" s="54" t="s">
        <v>76</v>
      </c>
      <c r="B19" s="55" t="s">
        <v>77</v>
      </c>
      <c r="C19" s="55" t="s">
        <v>87</v>
      </c>
      <c r="D19" s="54">
        <v>221112</v>
      </c>
      <c r="E19" s="55" t="s">
        <v>22</v>
      </c>
      <c r="F19" s="56" t="s">
        <v>88</v>
      </c>
      <c r="G19" s="55" t="s">
        <v>89</v>
      </c>
      <c r="H19" s="55" t="s">
        <v>85</v>
      </c>
      <c r="I19" s="55" t="s">
        <v>26</v>
      </c>
      <c r="J19" s="54">
        <v>82</v>
      </c>
      <c r="K19" s="54" t="s">
        <v>27</v>
      </c>
      <c r="L19" s="57">
        <v>450</v>
      </c>
      <c r="M19" s="54">
        <v>2002</v>
      </c>
      <c r="N19" s="54" t="s">
        <v>81</v>
      </c>
      <c r="O19" s="55"/>
      <c r="P19" s="58">
        <f>VLOOKUP(M19,'CEPCI Index'!$A$2:$C$23,3,FALSE)</f>
        <v>1.5356420626895853</v>
      </c>
      <c r="Q19" s="59">
        <f t="shared" si="0"/>
        <v>691.03892821031332</v>
      </c>
      <c r="R19" s="54" t="s">
        <v>30</v>
      </c>
    </row>
    <row r="20" spans="1:18" ht="94.5" x14ac:dyDescent="0.25">
      <c r="A20" s="54" t="s">
        <v>76</v>
      </c>
      <c r="B20" s="55" t="s">
        <v>77</v>
      </c>
      <c r="C20" s="55" t="s">
        <v>87</v>
      </c>
      <c r="D20" s="54">
        <v>221112</v>
      </c>
      <c r="E20" s="55" t="s">
        <v>22</v>
      </c>
      <c r="F20" s="56" t="s">
        <v>90</v>
      </c>
      <c r="G20" s="55" t="s">
        <v>91</v>
      </c>
      <c r="H20" s="55" t="s">
        <v>85</v>
      </c>
      <c r="I20" s="55" t="s">
        <v>26</v>
      </c>
      <c r="J20" s="54">
        <v>150</v>
      </c>
      <c r="K20" s="54" t="s">
        <v>27</v>
      </c>
      <c r="L20" s="57">
        <v>450</v>
      </c>
      <c r="M20" s="54">
        <v>2002</v>
      </c>
      <c r="N20" s="54" t="s">
        <v>81</v>
      </c>
      <c r="O20" s="55"/>
      <c r="P20" s="58">
        <f>VLOOKUP(M20,'CEPCI Index'!$A$2:$C$23,3,FALSE)</f>
        <v>1.5356420626895853</v>
      </c>
      <c r="Q20" s="59">
        <f t="shared" si="0"/>
        <v>691.03892821031332</v>
      </c>
      <c r="R20" s="54" t="s">
        <v>30</v>
      </c>
    </row>
    <row r="21" spans="1:18" ht="110.25" x14ac:dyDescent="0.25">
      <c r="A21" s="54" t="s">
        <v>92</v>
      </c>
      <c r="B21" s="60" t="s">
        <v>93</v>
      </c>
      <c r="C21" s="55" t="s">
        <v>94</v>
      </c>
      <c r="D21" s="54">
        <v>221112</v>
      </c>
      <c r="E21" s="55" t="s">
        <v>22</v>
      </c>
      <c r="F21" s="54">
        <v>1</v>
      </c>
      <c r="G21" s="55" t="s">
        <v>95</v>
      </c>
      <c r="H21" s="55" t="s">
        <v>96</v>
      </c>
      <c r="I21" s="55" t="s">
        <v>26</v>
      </c>
      <c r="J21" s="54">
        <v>188</v>
      </c>
      <c r="K21" s="54" t="s">
        <v>27</v>
      </c>
      <c r="L21" s="57">
        <v>1330</v>
      </c>
      <c r="M21" s="54">
        <v>2006</v>
      </c>
      <c r="N21" s="54" t="s">
        <v>28</v>
      </c>
      <c r="O21" s="55"/>
      <c r="P21" s="58">
        <f>VLOOKUP(M21,'CEPCI Index'!$A$2:$C$23,3,FALSE)</f>
        <v>1.215972778222578</v>
      </c>
      <c r="Q21" s="59">
        <f t="shared" si="0"/>
        <v>1617.2437950360288</v>
      </c>
      <c r="R21" s="54" t="s">
        <v>30</v>
      </c>
    </row>
    <row r="22" spans="1:18" ht="110.25" x14ac:dyDescent="0.25">
      <c r="A22" s="54" t="s">
        <v>92</v>
      </c>
      <c r="B22" s="60" t="s">
        <v>93</v>
      </c>
      <c r="C22" s="55" t="s">
        <v>94</v>
      </c>
      <c r="D22" s="54">
        <v>221112</v>
      </c>
      <c r="E22" s="55" t="s">
        <v>22</v>
      </c>
      <c r="F22" s="54">
        <v>1</v>
      </c>
      <c r="G22" s="55" t="s">
        <v>95</v>
      </c>
      <c r="H22" s="55" t="s">
        <v>97</v>
      </c>
      <c r="I22" s="55" t="s">
        <v>26</v>
      </c>
      <c r="J22" s="54">
        <v>188</v>
      </c>
      <c r="K22" s="54" t="s">
        <v>27</v>
      </c>
      <c r="L22" s="57">
        <v>3052</v>
      </c>
      <c r="M22" s="54">
        <v>2006</v>
      </c>
      <c r="N22" s="54" t="s">
        <v>28</v>
      </c>
      <c r="O22" s="55"/>
      <c r="P22" s="58">
        <f>VLOOKUP(M22,'CEPCI Index'!$A$2:$C$23,3,FALSE)</f>
        <v>1.215972778222578</v>
      </c>
      <c r="Q22" s="59">
        <f t="shared" si="0"/>
        <v>3711.148919135308</v>
      </c>
      <c r="R22" s="54" t="s">
        <v>30</v>
      </c>
    </row>
    <row r="23" spans="1:18" ht="110.25" x14ac:dyDescent="0.25">
      <c r="A23" s="54" t="s">
        <v>98</v>
      </c>
      <c r="B23" s="60" t="s">
        <v>99</v>
      </c>
      <c r="C23" s="55" t="s">
        <v>100</v>
      </c>
      <c r="D23" s="54">
        <v>221112</v>
      </c>
      <c r="E23" s="55" t="s">
        <v>22</v>
      </c>
      <c r="F23" s="54">
        <v>1</v>
      </c>
      <c r="G23" s="55" t="s">
        <v>101</v>
      </c>
      <c r="H23" s="55" t="s">
        <v>102</v>
      </c>
      <c r="I23" s="55" t="s">
        <v>103</v>
      </c>
      <c r="J23" s="54">
        <v>113</v>
      </c>
      <c r="K23" s="54" t="s">
        <v>27</v>
      </c>
      <c r="L23" s="57">
        <v>580</v>
      </c>
      <c r="M23" s="54">
        <v>2007</v>
      </c>
      <c r="N23" s="54" t="s">
        <v>28</v>
      </c>
      <c r="O23" s="55"/>
      <c r="P23" s="58">
        <f>VLOOKUP(M23,'CEPCI Index'!$A$2:$C$23,3,FALSE)</f>
        <v>1.1562618956985156</v>
      </c>
      <c r="Q23" s="59">
        <f t="shared" si="0"/>
        <v>670.63189950513902</v>
      </c>
      <c r="R23" s="54" t="s">
        <v>30</v>
      </c>
    </row>
    <row r="24" spans="1:18" ht="110.25" x14ac:dyDescent="0.25">
      <c r="A24" s="54" t="s">
        <v>98</v>
      </c>
      <c r="B24" s="60" t="s">
        <v>99</v>
      </c>
      <c r="C24" s="55" t="s">
        <v>100</v>
      </c>
      <c r="D24" s="54">
        <v>221112</v>
      </c>
      <c r="E24" s="55" t="s">
        <v>22</v>
      </c>
      <c r="F24" s="54">
        <v>2</v>
      </c>
      <c r="G24" s="55" t="s">
        <v>104</v>
      </c>
      <c r="H24" s="55" t="s">
        <v>102</v>
      </c>
      <c r="I24" s="55" t="s">
        <v>103</v>
      </c>
      <c r="J24" s="54">
        <v>113</v>
      </c>
      <c r="K24" s="54" t="s">
        <v>27</v>
      </c>
      <c r="L24" s="57">
        <v>653</v>
      </c>
      <c r="M24" s="54">
        <v>2007</v>
      </c>
      <c r="N24" s="54" t="s">
        <v>28</v>
      </c>
      <c r="O24" s="55"/>
      <c r="P24" s="58">
        <f>VLOOKUP(M24,'CEPCI Index'!$A$2:$C$23,3,FALSE)</f>
        <v>1.1562618956985156</v>
      </c>
      <c r="Q24" s="59">
        <f t="shared" si="0"/>
        <v>755.0390178911307</v>
      </c>
      <c r="R24" s="54" t="s">
        <v>30</v>
      </c>
    </row>
    <row r="25" spans="1:18" ht="110.25" x14ac:dyDescent="0.25">
      <c r="A25" s="54" t="s">
        <v>98</v>
      </c>
      <c r="B25" s="60" t="s">
        <v>99</v>
      </c>
      <c r="C25" s="55" t="s">
        <v>105</v>
      </c>
      <c r="D25" s="54">
        <v>221112</v>
      </c>
      <c r="E25" s="55" t="s">
        <v>22</v>
      </c>
      <c r="F25" s="54">
        <v>1</v>
      </c>
      <c r="G25" s="55" t="s">
        <v>106</v>
      </c>
      <c r="H25" s="55" t="s">
        <v>102</v>
      </c>
      <c r="I25" s="55" t="s">
        <v>103</v>
      </c>
      <c r="J25" s="54">
        <v>55</v>
      </c>
      <c r="K25" s="54" t="s">
        <v>27</v>
      </c>
      <c r="L25" s="57">
        <v>3050</v>
      </c>
      <c r="M25" s="54">
        <v>2007</v>
      </c>
      <c r="N25" s="54" t="s">
        <v>28</v>
      </c>
      <c r="O25" s="55"/>
      <c r="P25" s="58">
        <f>VLOOKUP(M25,'CEPCI Index'!$A$2:$C$23,3,FALSE)</f>
        <v>1.1562618956985156</v>
      </c>
      <c r="Q25" s="59">
        <f t="shared" si="0"/>
        <v>3526.5987818804724</v>
      </c>
      <c r="R25" s="54" t="s">
        <v>30</v>
      </c>
    </row>
    <row r="26" spans="1:18" ht="110.25" x14ac:dyDescent="0.25">
      <c r="A26" s="54" t="s">
        <v>98</v>
      </c>
      <c r="B26" s="60" t="s">
        <v>99</v>
      </c>
      <c r="C26" s="55" t="s">
        <v>105</v>
      </c>
      <c r="D26" s="54">
        <v>221112</v>
      </c>
      <c r="E26" s="55" t="s">
        <v>22</v>
      </c>
      <c r="F26" s="54">
        <v>2</v>
      </c>
      <c r="G26" s="55" t="s">
        <v>107</v>
      </c>
      <c r="H26" s="55" t="s">
        <v>102</v>
      </c>
      <c r="I26" s="55" t="s">
        <v>103</v>
      </c>
      <c r="J26" s="54">
        <v>83</v>
      </c>
      <c r="K26" s="54" t="s">
        <v>27</v>
      </c>
      <c r="L26" s="57">
        <v>3050</v>
      </c>
      <c r="M26" s="54">
        <v>2007</v>
      </c>
      <c r="N26" s="54" t="s">
        <v>28</v>
      </c>
      <c r="O26" s="55"/>
      <c r="P26" s="58">
        <f>VLOOKUP(M26,'CEPCI Index'!$A$2:$C$23,3,FALSE)</f>
        <v>1.1562618956985156</v>
      </c>
      <c r="Q26" s="59">
        <f t="shared" si="0"/>
        <v>3526.5987818804724</v>
      </c>
      <c r="R26" s="54" t="s">
        <v>30</v>
      </c>
    </row>
    <row r="27" spans="1:18" ht="110.25" x14ac:dyDescent="0.25">
      <c r="A27" s="54" t="s">
        <v>98</v>
      </c>
      <c r="B27" s="60" t="s">
        <v>99</v>
      </c>
      <c r="C27" s="55" t="s">
        <v>105</v>
      </c>
      <c r="D27" s="54">
        <v>221112</v>
      </c>
      <c r="E27" s="55" t="s">
        <v>22</v>
      </c>
      <c r="F27" s="54">
        <v>3</v>
      </c>
      <c r="G27" s="55" t="s">
        <v>108</v>
      </c>
      <c r="H27" s="55" t="s">
        <v>109</v>
      </c>
      <c r="I27" s="55" t="s">
        <v>103</v>
      </c>
      <c r="J27" s="54">
        <v>113</v>
      </c>
      <c r="K27" s="54" t="s">
        <v>27</v>
      </c>
      <c r="L27" s="57">
        <v>3050</v>
      </c>
      <c r="M27" s="54">
        <v>2007</v>
      </c>
      <c r="N27" s="54" t="s">
        <v>28</v>
      </c>
      <c r="O27" s="55"/>
      <c r="P27" s="58">
        <f>VLOOKUP(M27,'CEPCI Index'!$A$2:$C$23,3,FALSE)</f>
        <v>1.1562618956985156</v>
      </c>
      <c r="Q27" s="59">
        <f t="shared" si="0"/>
        <v>3526.5987818804724</v>
      </c>
      <c r="R27" s="54" t="s">
        <v>30</v>
      </c>
    </row>
    <row r="28" spans="1:18" ht="110.25" x14ac:dyDescent="0.25">
      <c r="A28" s="54" t="s">
        <v>98</v>
      </c>
      <c r="B28" s="60" t="s">
        <v>99</v>
      </c>
      <c r="C28" s="55" t="s">
        <v>110</v>
      </c>
      <c r="D28" s="54">
        <v>221112</v>
      </c>
      <c r="E28" s="55" t="s">
        <v>22</v>
      </c>
      <c r="F28" s="54">
        <v>1</v>
      </c>
      <c r="G28" s="55" t="s">
        <v>111</v>
      </c>
      <c r="H28" s="55" t="s">
        <v>112</v>
      </c>
      <c r="I28" s="55" t="s">
        <v>26</v>
      </c>
      <c r="J28" s="54">
        <v>100</v>
      </c>
      <c r="K28" s="54" t="s">
        <v>27</v>
      </c>
      <c r="L28" s="57">
        <v>1021</v>
      </c>
      <c r="M28" s="54">
        <v>2011</v>
      </c>
      <c r="N28" s="54" t="s">
        <v>28</v>
      </c>
      <c r="O28" s="55" t="s">
        <v>113</v>
      </c>
      <c r="P28" s="58">
        <f>VLOOKUP(M28,'CEPCI Index'!$A$2:$C$23,3,FALSE)</f>
        <v>1.0372204200102442</v>
      </c>
      <c r="Q28" s="59">
        <f t="shared" si="0"/>
        <v>1059.0020488304592</v>
      </c>
      <c r="R28" s="54" t="s">
        <v>30</v>
      </c>
    </row>
    <row r="29" spans="1:18" ht="110.25" x14ac:dyDescent="0.25">
      <c r="A29" s="54" t="s">
        <v>98</v>
      </c>
      <c r="B29" s="60" t="s">
        <v>99</v>
      </c>
      <c r="C29" s="55" t="s">
        <v>110</v>
      </c>
      <c r="D29" s="54">
        <v>221112</v>
      </c>
      <c r="E29" s="55" t="s">
        <v>22</v>
      </c>
      <c r="F29" s="54">
        <v>2</v>
      </c>
      <c r="G29" s="55" t="s">
        <v>111</v>
      </c>
      <c r="H29" s="55" t="s">
        <v>112</v>
      </c>
      <c r="I29" s="55" t="s">
        <v>26</v>
      </c>
      <c r="J29" s="54">
        <v>100</v>
      </c>
      <c r="K29" s="54" t="s">
        <v>27</v>
      </c>
      <c r="L29" s="57">
        <v>928</v>
      </c>
      <c r="M29" s="54">
        <v>2011</v>
      </c>
      <c r="N29" s="54" t="s">
        <v>28</v>
      </c>
      <c r="O29" s="55" t="s">
        <v>114</v>
      </c>
      <c r="P29" s="58">
        <f>VLOOKUP(M29,'CEPCI Index'!$A$2:$C$23,3,FALSE)</f>
        <v>1.0372204200102442</v>
      </c>
      <c r="Q29" s="59">
        <f t="shared" si="0"/>
        <v>962.54054976950658</v>
      </c>
      <c r="R29" s="54" t="s">
        <v>30</v>
      </c>
    </row>
    <row r="30" spans="1:18" ht="110.25" x14ac:dyDescent="0.25">
      <c r="A30" s="54" t="s">
        <v>98</v>
      </c>
      <c r="B30" s="60" t="s">
        <v>99</v>
      </c>
      <c r="C30" s="55" t="s">
        <v>110</v>
      </c>
      <c r="D30" s="54">
        <v>221112</v>
      </c>
      <c r="E30" s="55" t="s">
        <v>22</v>
      </c>
      <c r="F30" s="54">
        <v>3</v>
      </c>
      <c r="G30" s="55" t="s">
        <v>111</v>
      </c>
      <c r="H30" s="55" t="s">
        <v>112</v>
      </c>
      <c r="I30" s="55" t="s">
        <v>26</v>
      </c>
      <c r="J30" s="54">
        <v>100</v>
      </c>
      <c r="K30" s="54" t="s">
        <v>27</v>
      </c>
      <c r="L30" s="57">
        <v>1321</v>
      </c>
      <c r="M30" s="54">
        <v>2011</v>
      </c>
      <c r="N30" s="54" t="s">
        <v>28</v>
      </c>
      <c r="O30" s="55" t="s">
        <v>114</v>
      </c>
      <c r="P30" s="58">
        <f>VLOOKUP(M30,'CEPCI Index'!$A$2:$C$23,3,FALSE)</f>
        <v>1.0372204200102442</v>
      </c>
      <c r="Q30" s="59">
        <f t="shared" si="0"/>
        <v>1370.1681748335325</v>
      </c>
      <c r="R30" s="54" t="s">
        <v>30</v>
      </c>
    </row>
    <row r="31" spans="1:18" ht="110.25" x14ac:dyDescent="0.25">
      <c r="A31" s="54" t="s">
        <v>115</v>
      </c>
      <c r="B31" s="60" t="s">
        <v>116</v>
      </c>
      <c r="C31" s="55" t="s">
        <v>117</v>
      </c>
      <c r="D31" s="54">
        <v>221112</v>
      </c>
      <c r="E31" s="55" t="s">
        <v>22</v>
      </c>
      <c r="F31" s="54">
        <v>1</v>
      </c>
      <c r="G31" s="55" t="s">
        <v>118</v>
      </c>
      <c r="H31" s="55" t="s">
        <v>119</v>
      </c>
      <c r="I31" s="55" t="s">
        <v>103</v>
      </c>
      <c r="J31" s="54">
        <v>94</v>
      </c>
      <c r="K31" s="54" t="s">
        <v>27</v>
      </c>
      <c r="L31" s="57">
        <v>2600</v>
      </c>
      <c r="M31" s="54">
        <v>2011</v>
      </c>
      <c r="N31" s="54" t="s">
        <v>28</v>
      </c>
      <c r="O31" s="55"/>
      <c r="P31" s="58">
        <f>VLOOKUP(M31,'CEPCI Index'!$A$2:$C$23,3,FALSE)</f>
        <v>1.0372204200102442</v>
      </c>
      <c r="Q31" s="59">
        <f t="shared" si="0"/>
        <v>2696.7730920266349</v>
      </c>
      <c r="R31" s="54" t="s">
        <v>30</v>
      </c>
    </row>
    <row r="32" spans="1:18" ht="110.25" x14ac:dyDescent="0.25">
      <c r="A32" s="54" t="s">
        <v>115</v>
      </c>
      <c r="B32" s="60" t="s">
        <v>116</v>
      </c>
      <c r="C32" s="55" t="s">
        <v>117</v>
      </c>
      <c r="D32" s="54">
        <v>221112</v>
      </c>
      <c r="E32" s="55" t="s">
        <v>22</v>
      </c>
      <c r="F32" s="54">
        <v>2</v>
      </c>
      <c r="G32" s="55" t="s">
        <v>118</v>
      </c>
      <c r="H32" s="55" t="s">
        <v>119</v>
      </c>
      <c r="I32" s="55" t="s">
        <v>103</v>
      </c>
      <c r="J32" s="54">
        <v>94</v>
      </c>
      <c r="K32" s="54" t="s">
        <v>27</v>
      </c>
      <c r="L32" s="57">
        <v>2600</v>
      </c>
      <c r="M32" s="54">
        <v>2011</v>
      </c>
      <c r="N32" s="54" t="s">
        <v>28</v>
      </c>
      <c r="O32" s="55"/>
      <c r="P32" s="58">
        <f>VLOOKUP(M32,'CEPCI Index'!$A$2:$C$23,3,FALSE)</f>
        <v>1.0372204200102442</v>
      </c>
      <c r="Q32" s="59">
        <f t="shared" si="0"/>
        <v>2696.7730920266349</v>
      </c>
      <c r="R32" s="54" t="s">
        <v>30</v>
      </c>
    </row>
    <row r="33" spans="1:18" ht="47.25" x14ac:dyDescent="0.25">
      <c r="A33" s="54" t="s">
        <v>120</v>
      </c>
      <c r="B33" s="60" t="s">
        <v>121</v>
      </c>
      <c r="C33" s="55" t="s">
        <v>122</v>
      </c>
      <c r="D33" s="54">
        <v>221112</v>
      </c>
      <c r="E33" s="55" t="s">
        <v>22</v>
      </c>
      <c r="F33" s="54" t="s">
        <v>23</v>
      </c>
      <c r="G33" s="55" t="s">
        <v>123</v>
      </c>
      <c r="H33" s="55" t="s">
        <v>124</v>
      </c>
      <c r="I33" s="55" t="s">
        <v>26</v>
      </c>
      <c r="J33" s="62">
        <v>160</v>
      </c>
      <c r="K33" s="54" t="s">
        <v>27</v>
      </c>
      <c r="L33" s="57">
        <v>444</v>
      </c>
      <c r="M33" s="54">
        <v>2014</v>
      </c>
      <c r="N33" s="54" t="s">
        <v>28</v>
      </c>
      <c r="O33" s="55"/>
      <c r="P33" s="58">
        <f>VLOOKUP(M33,'CEPCI Index'!$A$2:$C$23,3,FALSE)</f>
        <v>1.054504426314876</v>
      </c>
      <c r="Q33" s="59">
        <f t="shared" si="0"/>
        <v>468.19996528380494</v>
      </c>
      <c r="R33" s="54" t="s">
        <v>30</v>
      </c>
    </row>
    <row r="34" spans="1:18" ht="47.25" x14ac:dyDescent="0.25">
      <c r="A34" s="72" t="s">
        <v>492</v>
      </c>
      <c r="B34" s="73" t="s">
        <v>493</v>
      </c>
      <c r="C34" s="73" t="s">
        <v>498</v>
      </c>
      <c r="D34" s="72">
        <v>221122</v>
      </c>
      <c r="E34" s="73" t="s">
        <v>499</v>
      </c>
      <c r="F34" s="72" t="s">
        <v>23</v>
      </c>
      <c r="G34" s="73" t="s">
        <v>500</v>
      </c>
      <c r="H34" s="73" t="s">
        <v>501</v>
      </c>
      <c r="I34" s="73" t="s">
        <v>502</v>
      </c>
      <c r="J34" s="72">
        <v>1944.8</v>
      </c>
      <c r="K34" s="73" t="s">
        <v>299</v>
      </c>
      <c r="L34" s="74">
        <v>211</v>
      </c>
      <c r="M34" s="72">
        <v>2012</v>
      </c>
      <c r="N34" s="73" t="s">
        <v>28</v>
      </c>
      <c r="O34" s="72"/>
      <c r="P34" s="75">
        <f>VLOOKUP(M34,'CEPCI Index'!$A$2:$C$23,3,FALSE)</f>
        <v>1.0391720834758809</v>
      </c>
      <c r="Q34" s="76">
        <f t="shared" si="0"/>
        <v>219.26530961341086</v>
      </c>
      <c r="R34" s="72" t="s">
        <v>30</v>
      </c>
    </row>
    <row r="35" spans="1:18" ht="47.25" x14ac:dyDescent="0.25">
      <c r="A35" s="72" t="s">
        <v>492</v>
      </c>
      <c r="B35" s="73" t="s">
        <v>493</v>
      </c>
      <c r="C35" s="73" t="s">
        <v>503</v>
      </c>
      <c r="D35" s="72">
        <v>221112</v>
      </c>
      <c r="E35" s="73" t="s">
        <v>22</v>
      </c>
      <c r="F35" s="72" t="s">
        <v>23</v>
      </c>
      <c r="G35" s="73" t="s">
        <v>504</v>
      </c>
      <c r="H35" s="73" t="s">
        <v>496</v>
      </c>
      <c r="I35" s="73" t="s">
        <v>502</v>
      </c>
      <c r="J35" s="72">
        <v>985</v>
      </c>
      <c r="K35" s="73" t="s">
        <v>299</v>
      </c>
      <c r="L35" s="74">
        <v>7939</v>
      </c>
      <c r="M35" s="72">
        <v>2012</v>
      </c>
      <c r="N35" s="73" t="s">
        <v>28</v>
      </c>
      <c r="O35" s="72"/>
      <c r="P35" s="75">
        <f>VLOOKUP(M35,'CEPCI Index'!$A$2:$C$23,3,FALSE)</f>
        <v>1.0391720834758809</v>
      </c>
      <c r="Q35" s="76">
        <f t="shared" ref="Q35:Q66" si="1">L35*P35</f>
        <v>8249.9871707150178</v>
      </c>
      <c r="R35" s="72" t="s">
        <v>30</v>
      </c>
    </row>
    <row r="36" spans="1:18" ht="47.25" x14ac:dyDescent="0.25">
      <c r="A36" s="54" t="s">
        <v>31</v>
      </c>
      <c r="B36" s="55" t="s">
        <v>32</v>
      </c>
      <c r="C36" s="55" t="s">
        <v>125</v>
      </c>
      <c r="D36" s="54">
        <v>221112</v>
      </c>
      <c r="E36" s="55" t="s">
        <v>22</v>
      </c>
      <c r="F36" s="54" t="s">
        <v>23</v>
      </c>
      <c r="G36" s="55" t="s">
        <v>126</v>
      </c>
      <c r="H36" s="55" t="s">
        <v>127</v>
      </c>
      <c r="I36" s="55" t="s">
        <v>26</v>
      </c>
      <c r="J36" s="62">
        <v>558</v>
      </c>
      <c r="K36" s="54" t="s">
        <v>27</v>
      </c>
      <c r="L36" s="57">
        <v>3845</v>
      </c>
      <c r="M36" s="54">
        <v>2016</v>
      </c>
      <c r="N36" s="54" t="s">
        <v>28</v>
      </c>
      <c r="O36" s="55"/>
      <c r="P36" s="58">
        <f>VLOOKUP(M36,'CEPCI Index'!$A$2:$C$23,3,FALSE)</f>
        <v>1.1214694480339671</v>
      </c>
      <c r="Q36" s="59">
        <f t="shared" si="1"/>
        <v>4312.0500276906032</v>
      </c>
      <c r="R36" s="54" t="s">
        <v>128</v>
      </c>
    </row>
    <row r="37" spans="1:18" ht="63" x14ac:dyDescent="0.25">
      <c r="A37" s="54" t="s">
        <v>31</v>
      </c>
      <c r="B37" s="55" t="s">
        <v>32</v>
      </c>
      <c r="C37" s="55" t="s">
        <v>129</v>
      </c>
      <c r="D37" s="54">
        <v>221112</v>
      </c>
      <c r="E37" s="55" t="s">
        <v>22</v>
      </c>
      <c r="F37" s="54" t="s">
        <v>23</v>
      </c>
      <c r="G37" s="55" t="s">
        <v>130</v>
      </c>
      <c r="H37" s="55" t="s">
        <v>131</v>
      </c>
      <c r="I37" s="55" t="s">
        <v>26</v>
      </c>
      <c r="J37" s="58">
        <v>880</v>
      </c>
      <c r="K37" s="54" t="s">
        <v>27</v>
      </c>
      <c r="L37" s="57">
        <v>2437</v>
      </c>
      <c r="M37" s="54">
        <v>2017</v>
      </c>
      <c r="N37" s="54" t="s">
        <v>81</v>
      </c>
      <c r="O37" s="55" t="s">
        <v>44</v>
      </c>
      <c r="P37" s="58">
        <f>VLOOKUP(M37,'CEPCI Index'!$A$2:$C$23,3,FALSE)</f>
        <v>1.0704845814977975</v>
      </c>
      <c r="Q37" s="59">
        <f t="shared" si="1"/>
        <v>2608.7709251101323</v>
      </c>
      <c r="R37" s="54" t="s">
        <v>128</v>
      </c>
    </row>
    <row r="38" spans="1:18" ht="63" x14ac:dyDescent="0.25">
      <c r="A38" s="54" t="s">
        <v>31</v>
      </c>
      <c r="B38" s="55" t="s">
        <v>32</v>
      </c>
      <c r="C38" s="55" t="s">
        <v>129</v>
      </c>
      <c r="D38" s="54">
        <v>221112</v>
      </c>
      <c r="E38" s="55" t="s">
        <v>22</v>
      </c>
      <c r="F38" s="54" t="s">
        <v>41</v>
      </c>
      <c r="G38" s="55" t="s">
        <v>130</v>
      </c>
      <c r="H38" s="55" t="s">
        <v>131</v>
      </c>
      <c r="I38" s="55" t="s">
        <v>26</v>
      </c>
      <c r="J38" s="58">
        <v>880</v>
      </c>
      <c r="K38" s="54" t="s">
        <v>27</v>
      </c>
      <c r="L38" s="57">
        <v>2345</v>
      </c>
      <c r="M38" s="54">
        <v>2017</v>
      </c>
      <c r="N38" s="54" t="s">
        <v>81</v>
      </c>
      <c r="O38" s="55" t="s">
        <v>44</v>
      </c>
      <c r="P38" s="58">
        <f>VLOOKUP(M38,'CEPCI Index'!$A$2:$C$23,3,FALSE)</f>
        <v>1.0704845814977975</v>
      </c>
      <c r="Q38" s="59">
        <f t="shared" si="1"/>
        <v>2510.2863436123353</v>
      </c>
      <c r="R38" s="54" t="s">
        <v>128</v>
      </c>
    </row>
    <row r="39" spans="1:18" ht="63" x14ac:dyDescent="0.25">
      <c r="A39" s="54" t="s">
        <v>31</v>
      </c>
      <c r="B39" s="55" t="s">
        <v>32</v>
      </c>
      <c r="C39" s="55" t="s">
        <v>132</v>
      </c>
      <c r="D39" s="54">
        <v>221112</v>
      </c>
      <c r="E39" s="55" t="s">
        <v>22</v>
      </c>
      <c r="F39" s="54" t="s">
        <v>133</v>
      </c>
      <c r="G39" s="55" t="s">
        <v>130</v>
      </c>
      <c r="H39" s="55" t="s">
        <v>131</v>
      </c>
      <c r="I39" s="55" t="s">
        <v>26</v>
      </c>
      <c r="J39" s="58">
        <v>880</v>
      </c>
      <c r="K39" s="54" t="s">
        <v>27</v>
      </c>
      <c r="L39" s="57">
        <v>1149</v>
      </c>
      <c r="M39" s="54">
        <v>2017</v>
      </c>
      <c r="N39" s="54" t="s">
        <v>28</v>
      </c>
      <c r="O39" s="55" t="s">
        <v>44</v>
      </c>
      <c r="P39" s="58">
        <f>VLOOKUP(M39,'CEPCI Index'!$A$2:$C$23,3,FALSE)</f>
        <v>1.0704845814977975</v>
      </c>
      <c r="Q39" s="59">
        <f t="shared" si="1"/>
        <v>1229.9867841409693</v>
      </c>
      <c r="R39" s="54" t="s">
        <v>128</v>
      </c>
    </row>
    <row r="40" spans="1:18" ht="94.5" x14ac:dyDescent="0.25">
      <c r="A40" s="54" t="s">
        <v>76</v>
      </c>
      <c r="B40" s="55" t="s">
        <v>77</v>
      </c>
      <c r="C40" s="55" t="s">
        <v>134</v>
      </c>
      <c r="D40" s="54">
        <v>221112</v>
      </c>
      <c r="E40" s="55" t="s">
        <v>22</v>
      </c>
      <c r="F40" s="54" t="s">
        <v>83</v>
      </c>
      <c r="G40" s="55" t="s">
        <v>135</v>
      </c>
      <c r="H40" s="55" t="s">
        <v>136</v>
      </c>
      <c r="I40" s="55" t="s">
        <v>26</v>
      </c>
      <c r="J40" s="54">
        <v>720</v>
      </c>
      <c r="K40" s="54" t="s">
        <v>27</v>
      </c>
      <c r="L40" s="57">
        <v>1437</v>
      </c>
      <c r="M40" s="54">
        <v>2002</v>
      </c>
      <c r="N40" s="54" t="s">
        <v>81</v>
      </c>
      <c r="O40" s="55"/>
      <c r="P40" s="58">
        <f>VLOOKUP(M40,'CEPCI Index'!$A$2:$C$23,3,FALSE)</f>
        <v>1.5356420626895853</v>
      </c>
      <c r="Q40" s="59">
        <f t="shared" si="1"/>
        <v>2206.7176440849339</v>
      </c>
      <c r="R40" s="54" t="s">
        <v>128</v>
      </c>
    </row>
    <row r="41" spans="1:18" ht="94.5" x14ac:dyDescent="0.25">
      <c r="A41" s="54" t="s">
        <v>76</v>
      </c>
      <c r="B41" s="55" t="s">
        <v>77</v>
      </c>
      <c r="C41" s="55" t="s">
        <v>137</v>
      </c>
      <c r="D41" s="54">
        <v>221112</v>
      </c>
      <c r="E41" s="55" t="s">
        <v>22</v>
      </c>
      <c r="F41" s="54" t="s">
        <v>83</v>
      </c>
      <c r="G41" s="55" t="s">
        <v>135</v>
      </c>
      <c r="H41" s="55" t="s">
        <v>136</v>
      </c>
      <c r="I41" s="55" t="s">
        <v>26</v>
      </c>
      <c r="J41" s="54">
        <v>720</v>
      </c>
      <c r="K41" s="54" t="s">
        <v>27</v>
      </c>
      <c r="L41" s="57">
        <v>1695</v>
      </c>
      <c r="M41" s="54">
        <v>2002</v>
      </c>
      <c r="N41" s="54" t="s">
        <v>81</v>
      </c>
      <c r="O41" s="55"/>
      <c r="P41" s="58">
        <f>VLOOKUP(M41,'CEPCI Index'!$A$2:$C$23,3,FALSE)</f>
        <v>1.5356420626895853</v>
      </c>
      <c r="Q41" s="59">
        <f t="shared" si="1"/>
        <v>2602.9132962588469</v>
      </c>
      <c r="R41" s="54" t="s">
        <v>128</v>
      </c>
    </row>
    <row r="42" spans="1:18" ht="94.5" x14ac:dyDescent="0.25">
      <c r="A42" s="54" t="s">
        <v>76</v>
      </c>
      <c r="B42" s="55" t="s">
        <v>77</v>
      </c>
      <c r="C42" s="55" t="s">
        <v>138</v>
      </c>
      <c r="D42" s="54">
        <v>221112</v>
      </c>
      <c r="E42" s="55" t="s">
        <v>22</v>
      </c>
      <c r="F42" s="54" t="s">
        <v>23</v>
      </c>
      <c r="G42" s="55" t="s">
        <v>139</v>
      </c>
      <c r="H42" s="55" t="s">
        <v>140</v>
      </c>
      <c r="I42" s="55" t="s">
        <v>26</v>
      </c>
      <c r="J42" s="54">
        <v>720</v>
      </c>
      <c r="K42" s="54" t="s">
        <v>27</v>
      </c>
      <c r="L42" s="57">
        <v>432</v>
      </c>
      <c r="M42" s="54">
        <v>2006</v>
      </c>
      <c r="N42" s="54" t="s">
        <v>28</v>
      </c>
      <c r="O42" s="55" t="s">
        <v>141</v>
      </c>
      <c r="P42" s="58">
        <f>VLOOKUP(M42,'CEPCI Index'!$A$2:$C$23,3,FALSE)</f>
        <v>1.215972778222578</v>
      </c>
      <c r="Q42" s="59">
        <f t="shared" si="1"/>
        <v>525.30024019215364</v>
      </c>
      <c r="R42" s="54" t="s">
        <v>128</v>
      </c>
    </row>
    <row r="43" spans="1:18" ht="94.5" x14ac:dyDescent="0.25">
      <c r="A43" s="54" t="s">
        <v>76</v>
      </c>
      <c r="B43" s="55" t="s">
        <v>77</v>
      </c>
      <c r="C43" s="55" t="s">
        <v>138</v>
      </c>
      <c r="D43" s="54">
        <v>221112</v>
      </c>
      <c r="E43" s="55" t="s">
        <v>22</v>
      </c>
      <c r="F43" s="54" t="s">
        <v>41</v>
      </c>
      <c r="G43" s="55" t="s">
        <v>139</v>
      </c>
      <c r="H43" s="55" t="s">
        <v>140</v>
      </c>
      <c r="I43" s="55" t="s">
        <v>26</v>
      </c>
      <c r="J43" s="54">
        <v>720</v>
      </c>
      <c r="K43" s="54" t="s">
        <v>27</v>
      </c>
      <c r="L43" s="57">
        <v>312</v>
      </c>
      <c r="M43" s="54">
        <v>2006</v>
      </c>
      <c r="N43" s="54" t="s">
        <v>28</v>
      </c>
      <c r="O43" s="55" t="s">
        <v>141</v>
      </c>
      <c r="P43" s="58">
        <f>VLOOKUP(M43,'CEPCI Index'!$A$2:$C$23,3,FALSE)</f>
        <v>1.215972778222578</v>
      </c>
      <c r="Q43" s="59">
        <f t="shared" si="1"/>
        <v>379.38350680544431</v>
      </c>
      <c r="R43" s="54" t="s">
        <v>128</v>
      </c>
    </row>
    <row r="44" spans="1:18" ht="110.25" x14ac:dyDescent="0.25">
      <c r="A44" s="54" t="s">
        <v>142</v>
      </c>
      <c r="B44" s="60" t="s">
        <v>143</v>
      </c>
      <c r="C44" s="55" t="s">
        <v>144</v>
      </c>
      <c r="D44" s="54">
        <v>221112</v>
      </c>
      <c r="E44" s="55" t="s">
        <v>22</v>
      </c>
      <c r="F44" s="54" t="s">
        <v>145</v>
      </c>
      <c r="G44" s="55" t="s">
        <v>146</v>
      </c>
      <c r="H44" s="55" t="s">
        <v>147</v>
      </c>
      <c r="I44" s="55" t="s">
        <v>26</v>
      </c>
      <c r="J44" s="54">
        <v>543.6</v>
      </c>
      <c r="K44" s="54" t="s">
        <v>27</v>
      </c>
      <c r="L44" s="57">
        <v>4443</v>
      </c>
      <c r="M44" s="54">
        <v>2007</v>
      </c>
      <c r="N44" s="54" t="s">
        <v>28</v>
      </c>
      <c r="O44" s="55"/>
      <c r="P44" s="58">
        <f>VLOOKUP(M44,'CEPCI Index'!$A$2:$C$23,3,FALSE)</f>
        <v>1.1562618956985156</v>
      </c>
      <c r="Q44" s="59">
        <f t="shared" si="1"/>
        <v>5137.2716025885047</v>
      </c>
      <c r="R44" s="54" t="s">
        <v>128</v>
      </c>
    </row>
    <row r="45" spans="1:18" ht="47.25" x14ac:dyDescent="0.25">
      <c r="A45" s="54" t="s">
        <v>148</v>
      </c>
      <c r="B45" s="55" t="s">
        <v>149</v>
      </c>
      <c r="C45" s="55" t="s">
        <v>150</v>
      </c>
      <c r="D45" s="54">
        <v>221112</v>
      </c>
      <c r="E45" s="55" t="s">
        <v>22</v>
      </c>
      <c r="F45" s="54" t="s">
        <v>151</v>
      </c>
      <c r="G45" s="55" t="s">
        <v>152</v>
      </c>
      <c r="H45" s="55" t="s">
        <v>131</v>
      </c>
      <c r="I45" s="55" t="s">
        <v>26</v>
      </c>
      <c r="J45" s="62">
        <v>614</v>
      </c>
      <c r="K45" s="54" t="s">
        <v>27</v>
      </c>
      <c r="L45" s="57">
        <v>2957</v>
      </c>
      <c r="M45" s="54">
        <v>2016</v>
      </c>
      <c r="N45" s="54" t="s">
        <v>28</v>
      </c>
      <c r="O45" s="55"/>
      <c r="P45" s="58">
        <f>VLOOKUP(M45,'CEPCI Index'!$A$2:$C$23,3,FALSE)</f>
        <v>1.1214694480339671</v>
      </c>
      <c r="Q45" s="59">
        <f t="shared" si="1"/>
        <v>3316.1851578364408</v>
      </c>
      <c r="R45" s="54" t="s">
        <v>128</v>
      </c>
    </row>
    <row r="46" spans="1:18" ht="110.25" x14ac:dyDescent="0.25">
      <c r="A46" s="54" t="s">
        <v>92</v>
      </c>
      <c r="B46" s="60" t="s">
        <v>93</v>
      </c>
      <c r="C46" s="55" t="s">
        <v>153</v>
      </c>
      <c r="D46" s="54">
        <v>221112</v>
      </c>
      <c r="E46" s="55" t="s">
        <v>22</v>
      </c>
      <c r="F46" s="54">
        <v>2</v>
      </c>
      <c r="G46" s="55" t="s">
        <v>154</v>
      </c>
      <c r="H46" s="55" t="s">
        <v>155</v>
      </c>
      <c r="I46" s="55" t="s">
        <v>26</v>
      </c>
      <c r="J46" s="54">
        <v>517</v>
      </c>
      <c r="K46" s="54" t="s">
        <v>27</v>
      </c>
      <c r="L46" s="57">
        <v>522</v>
      </c>
      <c r="M46" s="54">
        <v>2006</v>
      </c>
      <c r="N46" s="54" t="s">
        <v>28</v>
      </c>
      <c r="O46" s="55"/>
      <c r="P46" s="58">
        <f>VLOOKUP(M46,'CEPCI Index'!$A$2:$C$23,3,FALSE)</f>
        <v>1.215972778222578</v>
      </c>
      <c r="Q46" s="59">
        <f t="shared" si="1"/>
        <v>634.73779023218572</v>
      </c>
      <c r="R46" s="54" t="s">
        <v>128</v>
      </c>
    </row>
    <row r="47" spans="1:18" ht="110.25" x14ac:dyDescent="0.25">
      <c r="A47" s="54" t="s">
        <v>92</v>
      </c>
      <c r="B47" s="60" t="s">
        <v>93</v>
      </c>
      <c r="C47" s="55" t="s">
        <v>156</v>
      </c>
      <c r="D47" s="54">
        <v>221112</v>
      </c>
      <c r="E47" s="55" t="s">
        <v>22</v>
      </c>
      <c r="F47" s="54">
        <v>1</v>
      </c>
      <c r="G47" s="55" t="s">
        <v>157</v>
      </c>
      <c r="H47" s="55" t="s">
        <v>158</v>
      </c>
      <c r="I47" s="55" t="s">
        <v>26</v>
      </c>
      <c r="J47" s="54">
        <v>550</v>
      </c>
      <c r="K47" s="54" t="s">
        <v>27</v>
      </c>
      <c r="L47" s="57">
        <v>824</v>
      </c>
      <c r="M47" s="54">
        <v>2007</v>
      </c>
      <c r="N47" s="54" t="s">
        <v>28</v>
      </c>
      <c r="O47" s="55"/>
      <c r="P47" s="58">
        <f>VLOOKUP(M47,'CEPCI Index'!$A$2:$C$23,3,FALSE)</f>
        <v>1.1562618956985156</v>
      </c>
      <c r="Q47" s="59">
        <f t="shared" si="1"/>
        <v>952.75980205557687</v>
      </c>
      <c r="R47" s="54" t="s">
        <v>128</v>
      </c>
    </row>
    <row r="48" spans="1:18" ht="110.25" x14ac:dyDescent="0.25">
      <c r="A48" s="54" t="s">
        <v>92</v>
      </c>
      <c r="B48" s="60" t="s">
        <v>93</v>
      </c>
      <c r="C48" s="55" t="s">
        <v>156</v>
      </c>
      <c r="D48" s="54">
        <v>221112</v>
      </c>
      <c r="E48" s="55" t="s">
        <v>22</v>
      </c>
      <c r="F48" s="54">
        <v>2</v>
      </c>
      <c r="G48" s="55" t="s">
        <v>157</v>
      </c>
      <c r="H48" s="55" t="s">
        <v>159</v>
      </c>
      <c r="I48" s="55" t="s">
        <v>26</v>
      </c>
      <c r="J48" s="54">
        <v>550</v>
      </c>
      <c r="K48" s="54" t="s">
        <v>27</v>
      </c>
      <c r="L48" s="57">
        <v>824</v>
      </c>
      <c r="M48" s="54">
        <v>2007</v>
      </c>
      <c r="N48" s="54" t="s">
        <v>28</v>
      </c>
      <c r="O48" s="55"/>
      <c r="P48" s="58">
        <f>VLOOKUP(M48,'CEPCI Index'!$A$2:$C$23,3,FALSE)</f>
        <v>1.1562618956985156</v>
      </c>
      <c r="Q48" s="59">
        <f t="shared" si="1"/>
        <v>952.75980205557687</v>
      </c>
      <c r="R48" s="54" t="s">
        <v>128</v>
      </c>
    </row>
    <row r="49" spans="1:18" ht="110.25" x14ac:dyDescent="0.25">
      <c r="A49" s="54" t="s">
        <v>92</v>
      </c>
      <c r="B49" s="60" t="s">
        <v>93</v>
      </c>
      <c r="C49" s="55" t="s">
        <v>153</v>
      </c>
      <c r="D49" s="54">
        <v>221112</v>
      </c>
      <c r="E49" s="55" t="s">
        <v>22</v>
      </c>
      <c r="F49" s="54">
        <v>2</v>
      </c>
      <c r="G49" s="55" t="s">
        <v>154</v>
      </c>
      <c r="H49" s="55" t="s">
        <v>160</v>
      </c>
      <c r="I49" s="55" t="s">
        <v>26</v>
      </c>
      <c r="J49" s="58">
        <v>517</v>
      </c>
      <c r="K49" s="54" t="s">
        <v>27</v>
      </c>
      <c r="L49" s="57">
        <v>1269</v>
      </c>
      <c r="M49" s="54">
        <v>2006</v>
      </c>
      <c r="N49" s="54" t="s">
        <v>28</v>
      </c>
      <c r="O49" s="55"/>
      <c r="P49" s="58">
        <f>VLOOKUP(M49,'CEPCI Index'!$A$2:$C$23,3,FALSE)</f>
        <v>1.215972778222578</v>
      </c>
      <c r="Q49" s="59">
        <f t="shared" si="1"/>
        <v>1543.0694555644516</v>
      </c>
      <c r="R49" s="54" t="s">
        <v>128</v>
      </c>
    </row>
    <row r="50" spans="1:18" ht="94.5" x14ac:dyDescent="0.25">
      <c r="A50" s="54" t="s">
        <v>161</v>
      </c>
      <c r="B50" s="60" t="s">
        <v>162</v>
      </c>
      <c r="C50" s="55" t="s">
        <v>163</v>
      </c>
      <c r="D50" s="54">
        <v>221112</v>
      </c>
      <c r="E50" s="55" t="s">
        <v>22</v>
      </c>
      <c r="F50" s="54" t="s">
        <v>23</v>
      </c>
      <c r="G50" s="55" t="s">
        <v>164</v>
      </c>
      <c r="H50" s="55" t="s">
        <v>165</v>
      </c>
      <c r="I50" s="55" t="s">
        <v>26</v>
      </c>
      <c r="J50" s="54">
        <v>652</v>
      </c>
      <c r="K50" s="54" t="s">
        <v>27</v>
      </c>
      <c r="L50" s="57">
        <v>166</v>
      </c>
      <c r="M50" s="54">
        <v>2011</v>
      </c>
      <c r="N50" s="54" t="s">
        <v>28</v>
      </c>
      <c r="O50" s="55"/>
      <c r="P50" s="58">
        <f>VLOOKUP(M50,'CEPCI Index'!$A$2:$C$23,3,FALSE)</f>
        <v>1.0372204200102442</v>
      </c>
      <c r="Q50" s="59">
        <f t="shared" si="1"/>
        <v>172.17858972170052</v>
      </c>
      <c r="R50" s="54" t="s">
        <v>128</v>
      </c>
    </row>
    <row r="51" spans="1:18" ht="94.5" x14ac:dyDescent="0.25">
      <c r="A51" s="54" t="s">
        <v>161</v>
      </c>
      <c r="B51" s="60" t="s">
        <v>162</v>
      </c>
      <c r="C51" s="55" t="s">
        <v>166</v>
      </c>
      <c r="D51" s="54">
        <v>221112</v>
      </c>
      <c r="E51" s="55" t="s">
        <v>22</v>
      </c>
      <c r="F51" s="54" t="s">
        <v>23</v>
      </c>
      <c r="G51" s="55" t="s">
        <v>167</v>
      </c>
      <c r="H51" s="55" t="s">
        <v>168</v>
      </c>
      <c r="I51" s="55" t="s">
        <v>26</v>
      </c>
      <c r="J51" s="54">
        <v>681</v>
      </c>
      <c r="K51" s="54" t="s">
        <v>27</v>
      </c>
      <c r="L51" s="57">
        <v>198</v>
      </c>
      <c r="M51" s="54">
        <v>2011</v>
      </c>
      <c r="N51" s="54" t="s">
        <v>28</v>
      </c>
      <c r="O51" s="55"/>
      <c r="P51" s="58">
        <f>VLOOKUP(M51,'CEPCI Index'!$A$2:$C$23,3,FALSE)</f>
        <v>1.0372204200102442</v>
      </c>
      <c r="Q51" s="59">
        <f t="shared" si="1"/>
        <v>205.36964316202835</v>
      </c>
      <c r="R51" s="54" t="s">
        <v>128</v>
      </c>
    </row>
    <row r="52" spans="1:18" ht="110.25" x14ac:dyDescent="0.25">
      <c r="A52" s="54" t="s">
        <v>98</v>
      </c>
      <c r="B52" s="60" t="s">
        <v>99</v>
      </c>
      <c r="C52" s="55" t="s">
        <v>169</v>
      </c>
      <c r="D52" s="54">
        <v>221112</v>
      </c>
      <c r="E52" s="55" t="s">
        <v>22</v>
      </c>
      <c r="F52" s="54">
        <v>1</v>
      </c>
      <c r="G52" s="55" t="s">
        <v>170</v>
      </c>
      <c r="H52" s="55" t="s">
        <v>168</v>
      </c>
      <c r="I52" s="55" t="s">
        <v>26</v>
      </c>
      <c r="J52" s="54">
        <v>790</v>
      </c>
      <c r="K52" s="54" t="s">
        <v>27</v>
      </c>
      <c r="L52" s="57">
        <v>122</v>
      </c>
      <c r="M52" s="54">
        <v>2007</v>
      </c>
      <c r="N52" s="54" t="s">
        <v>28</v>
      </c>
      <c r="O52" s="55"/>
      <c r="P52" s="58">
        <f>VLOOKUP(M52,'CEPCI Index'!$A$2:$C$23,3,FALSE)</f>
        <v>1.1562618956985156</v>
      </c>
      <c r="Q52" s="59">
        <f t="shared" si="1"/>
        <v>141.0639512752189</v>
      </c>
      <c r="R52" s="54" t="s">
        <v>128</v>
      </c>
    </row>
    <row r="53" spans="1:18" ht="110.25" x14ac:dyDescent="0.25">
      <c r="A53" s="54" t="s">
        <v>98</v>
      </c>
      <c r="B53" s="60" t="s">
        <v>99</v>
      </c>
      <c r="C53" s="55" t="s">
        <v>169</v>
      </c>
      <c r="D53" s="54">
        <v>221112</v>
      </c>
      <c r="E53" s="55" t="s">
        <v>22</v>
      </c>
      <c r="F53" s="54">
        <v>2</v>
      </c>
      <c r="G53" s="55" t="s">
        <v>170</v>
      </c>
      <c r="H53" s="55" t="s">
        <v>168</v>
      </c>
      <c r="I53" s="55" t="s">
        <v>26</v>
      </c>
      <c r="J53" s="54">
        <v>790</v>
      </c>
      <c r="K53" s="54" t="s">
        <v>27</v>
      </c>
      <c r="L53" s="57">
        <v>122</v>
      </c>
      <c r="M53" s="54">
        <v>2007</v>
      </c>
      <c r="N53" s="54" t="s">
        <v>28</v>
      </c>
      <c r="O53" s="55"/>
      <c r="P53" s="58">
        <f>VLOOKUP(M53,'CEPCI Index'!$A$2:$C$23,3,FALSE)</f>
        <v>1.1562618956985156</v>
      </c>
      <c r="Q53" s="59">
        <f t="shared" si="1"/>
        <v>141.0639512752189</v>
      </c>
      <c r="R53" s="54" t="s">
        <v>128</v>
      </c>
    </row>
    <row r="54" spans="1:18" ht="110.25" x14ac:dyDescent="0.25">
      <c r="A54" s="54" t="s">
        <v>115</v>
      </c>
      <c r="B54" s="60" t="s">
        <v>116</v>
      </c>
      <c r="C54" s="55" t="s">
        <v>171</v>
      </c>
      <c r="D54" s="54">
        <v>221112</v>
      </c>
      <c r="E54" s="55" t="s">
        <v>22</v>
      </c>
      <c r="F54" s="54">
        <v>1</v>
      </c>
      <c r="G54" s="55" t="s">
        <v>172</v>
      </c>
      <c r="H54" s="55" t="s">
        <v>173</v>
      </c>
      <c r="I54" s="55" t="s">
        <v>103</v>
      </c>
      <c r="J54" s="54">
        <v>567</v>
      </c>
      <c r="K54" s="54" t="s">
        <v>27</v>
      </c>
      <c r="L54" s="57">
        <v>2120</v>
      </c>
      <c r="M54" s="54">
        <v>2011</v>
      </c>
      <c r="N54" s="54" t="s">
        <v>28</v>
      </c>
      <c r="O54" s="55"/>
      <c r="P54" s="58">
        <f>VLOOKUP(M54,'CEPCI Index'!$A$2:$C$23,3,FALSE)</f>
        <v>1.0372204200102442</v>
      </c>
      <c r="Q54" s="59">
        <f t="shared" si="1"/>
        <v>2198.9072904217178</v>
      </c>
      <c r="R54" s="54" t="s">
        <v>128</v>
      </c>
    </row>
    <row r="55" spans="1:18" ht="110.25" x14ac:dyDescent="0.25">
      <c r="A55" s="54" t="s">
        <v>115</v>
      </c>
      <c r="B55" s="60" t="s">
        <v>116</v>
      </c>
      <c r="C55" s="55" t="s">
        <v>171</v>
      </c>
      <c r="D55" s="54">
        <v>221112</v>
      </c>
      <c r="E55" s="55" t="s">
        <v>22</v>
      </c>
      <c r="F55" s="54">
        <v>2</v>
      </c>
      <c r="G55" s="55" t="s">
        <v>172</v>
      </c>
      <c r="H55" s="55" t="s">
        <v>173</v>
      </c>
      <c r="I55" s="55" t="s">
        <v>103</v>
      </c>
      <c r="J55" s="54">
        <v>567</v>
      </c>
      <c r="K55" s="54" t="s">
        <v>27</v>
      </c>
      <c r="L55" s="57">
        <v>2120</v>
      </c>
      <c r="M55" s="54">
        <v>2011</v>
      </c>
      <c r="N55" s="54" t="s">
        <v>28</v>
      </c>
      <c r="O55" s="55"/>
      <c r="P55" s="58">
        <f>VLOOKUP(M55,'CEPCI Index'!$A$2:$C$23,3,FALSE)</f>
        <v>1.0372204200102442</v>
      </c>
      <c r="Q55" s="59">
        <f t="shared" si="1"/>
        <v>2198.9072904217178</v>
      </c>
      <c r="R55" s="54" t="s">
        <v>128</v>
      </c>
    </row>
    <row r="56" spans="1:18" ht="110.25" x14ac:dyDescent="0.25">
      <c r="A56" s="54" t="s">
        <v>115</v>
      </c>
      <c r="B56" s="60" t="s">
        <v>116</v>
      </c>
      <c r="C56" s="55" t="s">
        <v>171</v>
      </c>
      <c r="D56" s="54">
        <v>221112</v>
      </c>
      <c r="E56" s="55" t="s">
        <v>22</v>
      </c>
      <c r="F56" s="54">
        <v>3</v>
      </c>
      <c r="G56" s="55" t="s">
        <v>172</v>
      </c>
      <c r="H56" s="55" t="s">
        <v>173</v>
      </c>
      <c r="I56" s="55" t="s">
        <v>103</v>
      </c>
      <c r="J56" s="54">
        <v>567</v>
      </c>
      <c r="K56" s="54" t="s">
        <v>27</v>
      </c>
      <c r="L56" s="57">
        <v>2120</v>
      </c>
      <c r="M56" s="54">
        <v>2011</v>
      </c>
      <c r="N56" s="54" t="s">
        <v>28</v>
      </c>
      <c r="O56" s="55" t="s">
        <v>174</v>
      </c>
      <c r="P56" s="58">
        <f>VLOOKUP(M56,'CEPCI Index'!$A$2:$C$23,3,FALSE)</f>
        <v>1.0372204200102442</v>
      </c>
      <c r="Q56" s="59">
        <f t="shared" si="1"/>
        <v>2198.9072904217178</v>
      </c>
      <c r="R56" s="54" t="s">
        <v>128</v>
      </c>
    </row>
    <row r="57" spans="1:18" ht="110.25" x14ac:dyDescent="0.25">
      <c r="A57" s="54" t="s">
        <v>115</v>
      </c>
      <c r="B57" s="60" t="s">
        <v>116</v>
      </c>
      <c r="C57" s="55" t="s">
        <v>175</v>
      </c>
      <c r="D57" s="54">
        <v>221112</v>
      </c>
      <c r="E57" s="55" t="s">
        <v>22</v>
      </c>
      <c r="F57" s="54">
        <v>1</v>
      </c>
      <c r="G57" s="55" t="s">
        <v>176</v>
      </c>
      <c r="H57" s="55" t="s">
        <v>177</v>
      </c>
      <c r="I57" s="55" t="s">
        <v>26</v>
      </c>
      <c r="J57" s="54">
        <v>570</v>
      </c>
      <c r="K57" s="54" t="s">
        <v>27</v>
      </c>
      <c r="L57" s="57">
        <v>785</v>
      </c>
      <c r="M57" s="54">
        <v>2011</v>
      </c>
      <c r="N57" s="54" t="s">
        <v>28</v>
      </c>
      <c r="O57" s="55" t="s">
        <v>114</v>
      </c>
      <c r="P57" s="58">
        <f>VLOOKUP(M57,'CEPCI Index'!$A$2:$C$23,3,FALSE)</f>
        <v>1.0372204200102442</v>
      </c>
      <c r="Q57" s="59">
        <f t="shared" si="1"/>
        <v>814.21802970804163</v>
      </c>
      <c r="R57" s="54" t="s">
        <v>128</v>
      </c>
    </row>
    <row r="58" spans="1:18" ht="110.25" x14ac:dyDescent="0.25">
      <c r="A58" s="54" t="s">
        <v>115</v>
      </c>
      <c r="B58" s="60" t="s">
        <v>116</v>
      </c>
      <c r="C58" s="55" t="s">
        <v>175</v>
      </c>
      <c r="D58" s="54">
        <v>221112</v>
      </c>
      <c r="E58" s="55" t="s">
        <v>22</v>
      </c>
      <c r="F58" s="54">
        <v>1</v>
      </c>
      <c r="G58" s="55" t="s">
        <v>176</v>
      </c>
      <c r="H58" s="55" t="s">
        <v>178</v>
      </c>
      <c r="I58" s="55" t="s">
        <v>26</v>
      </c>
      <c r="J58" s="54">
        <v>570</v>
      </c>
      <c r="K58" s="54" t="s">
        <v>27</v>
      </c>
      <c r="L58" s="57">
        <v>2048</v>
      </c>
      <c r="M58" s="54">
        <v>2011</v>
      </c>
      <c r="N58" s="54" t="s">
        <v>28</v>
      </c>
      <c r="O58" s="55"/>
      <c r="P58" s="58">
        <f>VLOOKUP(M58,'CEPCI Index'!$A$2:$C$23,3,FALSE)</f>
        <v>1.0372204200102442</v>
      </c>
      <c r="Q58" s="59">
        <f t="shared" si="1"/>
        <v>2124.2274201809801</v>
      </c>
      <c r="R58" s="54" t="s">
        <v>128</v>
      </c>
    </row>
    <row r="59" spans="1:18" ht="110.25" x14ac:dyDescent="0.25">
      <c r="A59" s="54" t="s">
        <v>115</v>
      </c>
      <c r="B59" s="60" t="s">
        <v>116</v>
      </c>
      <c r="C59" s="55" t="s">
        <v>175</v>
      </c>
      <c r="D59" s="54">
        <v>221112</v>
      </c>
      <c r="E59" s="55" t="s">
        <v>22</v>
      </c>
      <c r="F59" s="54">
        <v>2</v>
      </c>
      <c r="G59" s="55" t="s">
        <v>176</v>
      </c>
      <c r="H59" s="55" t="s">
        <v>177</v>
      </c>
      <c r="I59" s="55" t="s">
        <v>26</v>
      </c>
      <c r="J59" s="54">
        <v>570</v>
      </c>
      <c r="K59" s="54" t="s">
        <v>27</v>
      </c>
      <c r="L59" s="57">
        <v>758</v>
      </c>
      <c r="M59" s="54">
        <v>2011</v>
      </c>
      <c r="N59" s="54" t="s">
        <v>28</v>
      </c>
      <c r="O59" s="55" t="s">
        <v>114</v>
      </c>
      <c r="P59" s="58">
        <f>VLOOKUP(M59,'CEPCI Index'!$A$2:$C$23,3,FALSE)</f>
        <v>1.0372204200102442</v>
      </c>
      <c r="Q59" s="59">
        <f t="shared" si="1"/>
        <v>786.21307836776509</v>
      </c>
      <c r="R59" s="54" t="s">
        <v>128</v>
      </c>
    </row>
    <row r="60" spans="1:18" ht="110.25" x14ac:dyDescent="0.25">
      <c r="A60" s="54" t="s">
        <v>115</v>
      </c>
      <c r="B60" s="60" t="s">
        <v>116</v>
      </c>
      <c r="C60" s="55" t="s">
        <v>175</v>
      </c>
      <c r="D60" s="54">
        <v>221112</v>
      </c>
      <c r="E60" s="55" t="s">
        <v>22</v>
      </c>
      <c r="F60" s="54">
        <v>2</v>
      </c>
      <c r="G60" s="55" t="s">
        <v>176</v>
      </c>
      <c r="H60" s="55" t="s">
        <v>178</v>
      </c>
      <c r="I60" s="55" t="s">
        <v>26</v>
      </c>
      <c r="J60" s="54">
        <v>570</v>
      </c>
      <c r="K60" s="54" t="s">
        <v>27</v>
      </c>
      <c r="L60" s="57">
        <v>2048</v>
      </c>
      <c r="M60" s="54">
        <v>2011</v>
      </c>
      <c r="N60" s="54" t="s">
        <v>28</v>
      </c>
      <c r="O60" s="55"/>
      <c r="P60" s="58">
        <f>VLOOKUP(M60,'CEPCI Index'!$A$2:$C$23,3,FALSE)</f>
        <v>1.0372204200102442</v>
      </c>
      <c r="Q60" s="59">
        <f t="shared" si="1"/>
        <v>2124.2274201809801</v>
      </c>
      <c r="R60" s="54" t="s">
        <v>128</v>
      </c>
    </row>
    <row r="61" spans="1:18" ht="110.25" x14ac:dyDescent="0.25">
      <c r="A61" s="54" t="s">
        <v>115</v>
      </c>
      <c r="B61" s="60" t="s">
        <v>116</v>
      </c>
      <c r="C61" s="55" t="s">
        <v>179</v>
      </c>
      <c r="D61" s="54">
        <v>221112</v>
      </c>
      <c r="E61" s="55" t="s">
        <v>22</v>
      </c>
      <c r="F61" s="54">
        <v>4</v>
      </c>
      <c r="G61" s="55" t="s">
        <v>180</v>
      </c>
      <c r="H61" s="55" t="s">
        <v>177</v>
      </c>
      <c r="I61" s="55" t="s">
        <v>26</v>
      </c>
      <c r="J61" s="54">
        <v>572</v>
      </c>
      <c r="K61" s="54" t="s">
        <v>27</v>
      </c>
      <c r="L61" s="57">
        <v>281</v>
      </c>
      <c r="M61" s="54">
        <v>2011</v>
      </c>
      <c r="N61" s="54" t="s">
        <v>28</v>
      </c>
      <c r="O61" s="55" t="s">
        <v>114</v>
      </c>
      <c r="P61" s="58">
        <f>VLOOKUP(M61,'CEPCI Index'!$A$2:$C$23,3,FALSE)</f>
        <v>1.0372204200102442</v>
      </c>
      <c r="Q61" s="59">
        <f t="shared" si="1"/>
        <v>291.45893802287861</v>
      </c>
      <c r="R61" s="54" t="s">
        <v>128</v>
      </c>
    </row>
    <row r="62" spans="1:18" ht="110.25" x14ac:dyDescent="0.25">
      <c r="A62" s="54" t="s">
        <v>115</v>
      </c>
      <c r="B62" s="60" t="s">
        <v>116</v>
      </c>
      <c r="C62" s="55" t="s">
        <v>179</v>
      </c>
      <c r="D62" s="54">
        <v>221112</v>
      </c>
      <c r="E62" s="55" t="s">
        <v>22</v>
      </c>
      <c r="F62" s="54">
        <v>4</v>
      </c>
      <c r="G62" s="55" t="s">
        <v>180</v>
      </c>
      <c r="H62" s="55" t="s">
        <v>178</v>
      </c>
      <c r="I62" s="55" t="s">
        <v>26</v>
      </c>
      <c r="J62" s="54">
        <v>572</v>
      </c>
      <c r="K62" s="54" t="s">
        <v>27</v>
      </c>
      <c r="L62" s="57">
        <v>2366</v>
      </c>
      <c r="M62" s="54">
        <v>2011</v>
      </c>
      <c r="N62" s="54" t="s">
        <v>28</v>
      </c>
      <c r="O62" s="55"/>
      <c r="P62" s="58">
        <f>VLOOKUP(M62,'CEPCI Index'!$A$2:$C$23,3,FALSE)</f>
        <v>1.0372204200102442</v>
      </c>
      <c r="Q62" s="59">
        <f t="shared" si="1"/>
        <v>2454.0635137442378</v>
      </c>
      <c r="R62" s="54" t="s">
        <v>128</v>
      </c>
    </row>
    <row r="63" spans="1:18" ht="110.25" x14ac:dyDescent="0.25">
      <c r="A63" s="54" t="s">
        <v>115</v>
      </c>
      <c r="B63" s="60" t="s">
        <v>116</v>
      </c>
      <c r="C63" s="55" t="s">
        <v>179</v>
      </c>
      <c r="D63" s="54">
        <v>221112</v>
      </c>
      <c r="E63" s="55" t="s">
        <v>22</v>
      </c>
      <c r="F63" s="54">
        <v>5</v>
      </c>
      <c r="G63" s="55" t="s">
        <v>180</v>
      </c>
      <c r="H63" s="55" t="s">
        <v>177</v>
      </c>
      <c r="I63" s="55" t="s">
        <v>26</v>
      </c>
      <c r="J63" s="54">
        <v>572</v>
      </c>
      <c r="K63" s="54" t="s">
        <v>27</v>
      </c>
      <c r="L63" s="57">
        <v>281</v>
      </c>
      <c r="M63" s="54">
        <v>2011</v>
      </c>
      <c r="N63" s="54" t="s">
        <v>28</v>
      </c>
      <c r="O63" s="55" t="s">
        <v>114</v>
      </c>
      <c r="P63" s="58">
        <f>VLOOKUP(M63,'CEPCI Index'!$A$2:$C$23,3,FALSE)</f>
        <v>1.0372204200102442</v>
      </c>
      <c r="Q63" s="59">
        <f t="shared" si="1"/>
        <v>291.45893802287861</v>
      </c>
      <c r="R63" s="54" t="s">
        <v>128</v>
      </c>
    </row>
    <row r="64" spans="1:18" ht="110.25" x14ac:dyDescent="0.25">
      <c r="A64" s="54" t="s">
        <v>115</v>
      </c>
      <c r="B64" s="60" t="s">
        <v>116</v>
      </c>
      <c r="C64" s="55" t="s">
        <v>179</v>
      </c>
      <c r="D64" s="54">
        <v>221112</v>
      </c>
      <c r="E64" s="55" t="s">
        <v>22</v>
      </c>
      <c r="F64" s="54">
        <v>5</v>
      </c>
      <c r="G64" s="55" t="s">
        <v>180</v>
      </c>
      <c r="H64" s="55" t="s">
        <v>178</v>
      </c>
      <c r="I64" s="55" t="s">
        <v>26</v>
      </c>
      <c r="J64" s="54">
        <v>572</v>
      </c>
      <c r="K64" s="54" t="s">
        <v>27</v>
      </c>
      <c r="L64" s="57">
        <v>2366</v>
      </c>
      <c r="M64" s="54">
        <v>2011</v>
      </c>
      <c r="N64" s="54" t="s">
        <v>28</v>
      </c>
      <c r="O64" s="55"/>
      <c r="P64" s="58">
        <f>VLOOKUP(M64,'CEPCI Index'!$A$2:$C$23,3,FALSE)</f>
        <v>1.0372204200102442</v>
      </c>
      <c r="Q64" s="59">
        <f t="shared" si="1"/>
        <v>2454.0635137442378</v>
      </c>
      <c r="R64" s="54" t="s">
        <v>128</v>
      </c>
    </row>
    <row r="65" spans="1:18" ht="110.25" x14ac:dyDescent="0.25">
      <c r="A65" s="54" t="s">
        <v>181</v>
      </c>
      <c r="B65" s="60" t="s">
        <v>182</v>
      </c>
      <c r="C65" s="55" t="s">
        <v>183</v>
      </c>
      <c r="D65" s="54">
        <v>221112</v>
      </c>
      <c r="E65" s="55" t="s">
        <v>22</v>
      </c>
      <c r="F65" s="54">
        <v>4</v>
      </c>
      <c r="G65" s="55" t="s">
        <v>184</v>
      </c>
      <c r="H65" s="55" t="s">
        <v>185</v>
      </c>
      <c r="I65" s="55" t="s">
        <v>26</v>
      </c>
      <c r="J65" s="54">
        <v>600</v>
      </c>
      <c r="K65" s="54" t="s">
        <v>27</v>
      </c>
      <c r="L65" s="57">
        <v>600</v>
      </c>
      <c r="M65" s="54">
        <v>2014</v>
      </c>
      <c r="N65" s="54" t="s">
        <v>81</v>
      </c>
      <c r="O65" s="55" t="s">
        <v>186</v>
      </c>
      <c r="P65" s="58">
        <f>VLOOKUP(M65,'CEPCI Index'!$A$2:$C$23,3,FALSE)</f>
        <v>1.054504426314876</v>
      </c>
      <c r="Q65" s="59">
        <f t="shared" si="1"/>
        <v>632.70265578892554</v>
      </c>
      <c r="R65" s="54" t="s">
        <v>128</v>
      </c>
    </row>
    <row r="66" spans="1:18" ht="110.25" x14ac:dyDescent="0.25">
      <c r="A66" s="54" t="s">
        <v>181</v>
      </c>
      <c r="B66" s="60" t="s">
        <v>182</v>
      </c>
      <c r="C66" s="55" t="s">
        <v>187</v>
      </c>
      <c r="D66" s="54">
        <v>221112</v>
      </c>
      <c r="E66" s="55" t="s">
        <v>22</v>
      </c>
      <c r="F66" s="54">
        <v>1</v>
      </c>
      <c r="G66" s="55" t="s">
        <v>188</v>
      </c>
      <c r="H66" s="55" t="s">
        <v>185</v>
      </c>
      <c r="I66" s="55" t="s">
        <v>26</v>
      </c>
      <c r="J66" s="54">
        <v>750</v>
      </c>
      <c r="K66" s="54" t="s">
        <v>27</v>
      </c>
      <c r="L66" s="57">
        <v>600</v>
      </c>
      <c r="M66" s="54">
        <v>2014</v>
      </c>
      <c r="N66" s="54" t="s">
        <v>81</v>
      </c>
      <c r="O66" s="55" t="s">
        <v>186</v>
      </c>
      <c r="P66" s="58">
        <f>VLOOKUP(M66,'CEPCI Index'!$A$2:$C$23,3,FALSE)</f>
        <v>1.054504426314876</v>
      </c>
      <c r="Q66" s="59">
        <f t="shared" si="1"/>
        <v>632.70265578892554</v>
      </c>
      <c r="R66" s="54" t="s">
        <v>128</v>
      </c>
    </row>
    <row r="67" spans="1:18" ht="189" x14ac:dyDescent="0.25">
      <c r="A67" s="54" t="s">
        <v>181</v>
      </c>
      <c r="B67" s="60" t="s">
        <v>182</v>
      </c>
      <c r="C67" s="55" t="s">
        <v>187</v>
      </c>
      <c r="D67" s="54">
        <v>221112</v>
      </c>
      <c r="E67" s="55" t="s">
        <v>22</v>
      </c>
      <c r="F67" s="54">
        <v>2</v>
      </c>
      <c r="G67" s="55" t="s">
        <v>188</v>
      </c>
      <c r="H67" s="55" t="s">
        <v>185</v>
      </c>
      <c r="I67" s="55" t="s">
        <v>26</v>
      </c>
      <c r="J67" s="54">
        <v>750</v>
      </c>
      <c r="K67" s="54" t="s">
        <v>27</v>
      </c>
      <c r="L67" s="57">
        <v>600</v>
      </c>
      <c r="M67" s="54">
        <v>2014</v>
      </c>
      <c r="N67" s="54" t="s">
        <v>81</v>
      </c>
      <c r="O67" s="55" t="s">
        <v>189</v>
      </c>
      <c r="P67" s="58">
        <f>VLOOKUP(M67,'CEPCI Index'!$A$2:$C$23,3,FALSE)</f>
        <v>1.054504426314876</v>
      </c>
      <c r="Q67" s="59">
        <f t="shared" ref="Q67:Q98" si="2">L67*P67</f>
        <v>632.70265578892554</v>
      </c>
      <c r="R67" s="54" t="s">
        <v>128</v>
      </c>
    </row>
    <row r="68" spans="1:18" ht="110.25" x14ac:dyDescent="0.25">
      <c r="A68" s="54" t="s">
        <v>181</v>
      </c>
      <c r="B68" s="60" t="s">
        <v>182</v>
      </c>
      <c r="C68" s="55" t="s">
        <v>187</v>
      </c>
      <c r="D68" s="54">
        <v>221112</v>
      </c>
      <c r="E68" s="55" t="s">
        <v>22</v>
      </c>
      <c r="F68" s="54">
        <v>3</v>
      </c>
      <c r="G68" s="55" t="s">
        <v>188</v>
      </c>
      <c r="H68" s="55" t="s">
        <v>185</v>
      </c>
      <c r="I68" s="55" t="s">
        <v>26</v>
      </c>
      <c r="J68" s="54">
        <v>750</v>
      </c>
      <c r="K68" s="54" t="s">
        <v>27</v>
      </c>
      <c r="L68" s="57">
        <v>600</v>
      </c>
      <c r="M68" s="54">
        <v>2014</v>
      </c>
      <c r="N68" s="54" t="s">
        <v>81</v>
      </c>
      <c r="O68" s="55" t="s">
        <v>186</v>
      </c>
      <c r="P68" s="58">
        <f>VLOOKUP(M68,'CEPCI Index'!$A$2:$C$23,3,FALSE)</f>
        <v>1.054504426314876</v>
      </c>
      <c r="Q68" s="59">
        <f t="shared" si="2"/>
        <v>632.70265578892554</v>
      </c>
      <c r="R68" s="54" t="s">
        <v>128</v>
      </c>
    </row>
    <row r="69" spans="1:18" ht="110.25" x14ac:dyDescent="0.25">
      <c r="A69" s="54" t="s">
        <v>181</v>
      </c>
      <c r="B69" s="60" t="s">
        <v>182</v>
      </c>
      <c r="C69" s="55" t="s">
        <v>190</v>
      </c>
      <c r="D69" s="54">
        <v>221112</v>
      </c>
      <c r="E69" s="55" t="s">
        <v>22</v>
      </c>
      <c r="F69" s="54">
        <v>3</v>
      </c>
      <c r="G69" s="55" t="s">
        <v>191</v>
      </c>
      <c r="H69" s="55" t="s">
        <v>185</v>
      </c>
      <c r="I69" s="55" t="s">
        <v>26</v>
      </c>
      <c r="J69" s="54">
        <v>795</v>
      </c>
      <c r="K69" s="54" t="s">
        <v>27</v>
      </c>
      <c r="L69" s="57">
        <v>600</v>
      </c>
      <c r="M69" s="54">
        <v>2014</v>
      </c>
      <c r="N69" s="54" t="s">
        <v>81</v>
      </c>
      <c r="O69" s="55" t="s">
        <v>186</v>
      </c>
      <c r="P69" s="58">
        <f>VLOOKUP(M69,'CEPCI Index'!$A$2:$C$23,3,FALSE)</f>
        <v>1.054504426314876</v>
      </c>
      <c r="Q69" s="59">
        <f t="shared" si="2"/>
        <v>632.70265578892554</v>
      </c>
      <c r="R69" s="54" t="s">
        <v>128</v>
      </c>
    </row>
    <row r="70" spans="1:18" ht="110.25" x14ac:dyDescent="0.25">
      <c r="A70" s="54" t="s">
        <v>181</v>
      </c>
      <c r="B70" s="60" t="s">
        <v>182</v>
      </c>
      <c r="C70" s="55" t="s">
        <v>192</v>
      </c>
      <c r="D70" s="54">
        <v>221112</v>
      </c>
      <c r="E70" s="55" t="s">
        <v>22</v>
      </c>
      <c r="F70" s="54">
        <v>2</v>
      </c>
      <c r="G70" s="55"/>
      <c r="H70" s="55" t="s">
        <v>185</v>
      </c>
      <c r="I70" s="55" t="s">
        <v>26</v>
      </c>
      <c r="J70" s="54">
        <v>858</v>
      </c>
      <c r="K70" s="54" t="s">
        <v>27</v>
      </c>
      <c r="L70" s="57">
        <v>600</v>
      </c>
      <c r="M70" s="54">
        <v>2014</v>
      </c>
      <c r="N70" s="54" t="s">
        <v>81</v>
      </c>
      <c r="O70" s="55" t="s">
        <v>186</v>
      </c>
      <c r="P70" s="58">
        <f>VLOOKUP(M70,'CEPCI Index'!$A$2:$C$23,3,FALSE)</f>
        <v>1.054504426314876</v>
      </c>
      <c r="Q70" s="59">
        <f t="shared" si="2"/>
        <v>632.70265578892554</v>
      </c>
      <c r="R70" s="54" t="s">
        <v>128</v>
      </c>
    </row>
    <row r="71" spans="1:18" ht="110.25" x14ac:dyDescent="0.25">
      <c r="A71" s="54" t="s">
        <v>181</v>
      </c>
      <c r="B71" s="60" t="s">
        <v>182</v>
      </c>
      <c r="C71" s="55" t="s">
        <v>192</v>
      </c>
      <c r="D71" s="54">
        <v>221112</v>
      </c>
      <c r="E71" s="55" t="s">
        <v>22</v>
      </c>
      <c r="F71" s="54">
        <v>1</v>
      </c>
      <c r="G71" s="55"/>
      <c r="H71" s="55" t="s">
        <v>185</v>
      </c>
      <c r="I71" s="55" t="s">
        <v>26</v>
      </c>
      <c r="J71" s="54">
        <v>831</v>
      </c>
      <c r="K71" s="54" t="s">
        <v>27</v>
      </c>
      <c r="L71" s="57">
        <v>600</v>
      </c>
      <c r="M71" s="54">
        <v>2014</v>
      </c>
      <c r="N71" s="54" t="s">
        <v>81</v>
      </c>
      <c r="O71" s="55" t="s">
        <v>186</v>
      </c>
      <c r="P71" s="58">
        <f>VLOOKUP(M71,'CEPCI Index'!$A$2:$C$23,3,FALSE)</f>
        <v>1.054504426314876</v>
      </c>
      <c r="Q71" s="59">
        <f t="shared" si="2"/>
        <v>632.70265578892554</v>
      </c>
      <c r="R71" s="54" t="s">
        <v>128</v>
      </c>
    </row>
    <row r="72" spans="1:18" ht="110.25" x14ac:dyDescent="0.25">
      <c r="A72" s="54" t="s">
        <v>181</v>
      </c>
      <c r="B72" s="60" t="s">
        <v>182</v>
      </c>
      <c r="C72" s="55" t="s">
        <v>193</v>
      </c>
      <c r="D72" s="54">
        <v>221112</v>
      </c>
      <c r="E72" s="55" t="s">
        <v>22</v>
      </c>
      <c r="F72" s="54">
        <v>1</v>
      </c>
      <c r="G72" s="55" t="s">
        <v>194</v>
      </c>
      <c r="H72" s="55" t="s">
        <v>195</v>
      </c>
      <c r="I72" s="55" t="s">
        <v>26</v>
      </c>
      <c r="J72" s="63">
        <v>572.9</v>
      </c>
      <c r="K72" s="54" t="s">
        <v>27</v>
      </c>
      <c r="L72" s="57">
        <v>1255</v>
      </c>
      <c r="M72" s="54">
        <v>2014</v>
      </c>
      <c r="N72" s="54" t="s">
        <v>81</v>
      </c>
      <c r="O72" s="55"/>
      <c r="P72" s="58">
        <f>VLOOKUP(M72,'CEPCI Index'!$A$2:$C$23,3,FALSE)</f>
        <v>1.054504426314876</v>
      </c>
      <c r="Q72" s="59">
        <f t="shared" si="2"/>
        <v>1323.4030550251694</v>
      </c>
      <c r="R72" s="54" t="s">
        <v>128</v>
      </c>
    </row>
    <row r="73" spans="1:18" ht="110.25" x14ac:dyDescent="0.25">
      <c r="A73" s="54" t="s">
        <v>181</v>
      </c>
      <c r="B73" s="60" t="s">
        <v>182</v>
      </c>
      <c r="C73" s="55" t="s">
        <v>193</v>
      </c>
      <c r="D73" s="54">
        <v>221112</v>
      </c>
      <c r="E73" s="55" t="s">
        <v>22</v>
      </c>
      <c r="F73" s="54">
        <v>2</v>
      </c>
      <c r="G73" s="55" t="s">
        <v>194</v>
      </c>
      <c r="H73" s="55" t="s">
        <v>195</v>
      </c>
      <c r="I73" s="55" t="s">
        <v>26</v>
      </c>
      <c r="J73" s="63">
        <v>572.9</v>
      </c>
      <c r="K73" s="54" t="s">
        <v>27</v>
      </c>
      <c r="L73" s="57">
        <v>1257</v>
      </c>
      <c r="M73" s="54">
        <v>2014</v>
      </c>
      <c r="N73" s="54" t="s">
        <v>81</v>
      </c>
      <c r="O73" s="55"/>
      <c r="P73" s="58">
        <f>VLOOKUP(M73,'CEPCI Index'!$A$2:$C$23,3,FALSE)</f>
        <v>1.054504426314876</v>
      </c>
      <c r="Q73" s="59">
        <f t="shared" si="2"/>
        <v>1325.5120638777992</v>
      </c>
      <c r="R73" s="54" t="s">
        <v>128</v>
      </c>
    </row>
    <row r="74" spans="1:18" ht="110.25" x14ac:dyDescent="0.25">
      <c r="A74" s="54" t="s">
        <v>181</v>
      </c>
      <c r="B74" s="60" t="s">
        <v>182</v>
      </c>
      <c r="C74" s="55" t="s">
        <v>190</v>
      </c>
      <c r="D74" s="54">
        <v>221112</v>
      </c>
      <c r="E74" s="55" t="s">
        <v>22</v>
      </c>
      <c r="F74" s="54">
        <v>1</v>
      </c>
      <c r="G74" s="55" t="s">
        <v>196</v>
      </c>
      <c r="H74" s="55" t="s">
        <v>197</v>
      </c>
      <c r="I74" s="55" t="s">
        <v>26</v>
      </c>
      <c r="J74" s="63">
        <v>562.9</v>
      </c>
      <c r="K74" s="54" t="s">
        <v>27</v>
      </c>
      <c r="L74" s="57">
        <v>1937</v>
      </c>
      <c r="M74" s="54">
        <v>2014</v>
      </c>
      <c r="N74" s="54" t="s">
        <v>81</v>
      </c>
      <c r="O74" s="55"/>
      <c r="P74" s="58">
        <f>VLOOKUP(M74,'CEPCI Index'!$A$2:$C$23,3,FALSE)</f>
        <v>1.054504426314876</v>
      </c>
      <c r="Q74" s="59">
        <f t="shared" si="2"/>
        <v>2042.5750737719147</v>
      </c>
      <c r="R74" s="54" t="s">
        <v>128</v>
      </c>
    </row>
    <row r="75" spans="1:18" ht="110.25" x14ac:dyDescent="0.25">
      <c r="A75" s="54" t="s">
        <v>181</v>
      </c>
      <c r="B75" s="60" t="s">
        <v>182</v>
      </c>
      <c r="C75" s="55" t="s">
        <v>190</v>
      </c>
      <c r="D75" s="54">
        <v>221112</v>
      </c>
      <c r="E75" s="55" t="s">
        <v>22</v>
      </c>
      <c r="F75" s="54">
        <v>2</v>
      </c>
      <c r="G75" s="55" t="s">
        <v>196</v>
      </c>
      <c r="H75" s="55" t="s">
        <v>197</v>
      </c>
      <c r="I75" s="55" t="s">
        <v>26</v>
      </c>
      <c r="J75" s="63">
        <v>562.9</v>
      </c>
      <c r="K75" s="54" t="s">
        <v>27</v>
      </c>
      <c r="L75" s="57">
        <v>2170</v>
      </c>
      <c r="M75" s="54">
        <v>2014</v>
      </c>
      <c r="N75" s="54" t="s">
        <v>81</v>
      </c>
      <c r="O75" s="55"/>
      <c r="P75" s="58">
        <f>VLOOKUP(M75,'CEPCI Index'!$A$2:$C$23,3,FALSE)</f>
        <v>1.054504426314876</v>
      </c>
      <c r="Q75" s="59">
        <f t="shared" si="2"/>
        <v>2288.2746051032809</v>
      </c>
      <c r="R75" s="54" t="s">
        <v>128</v>
      </c>
    </row>
    <row r="76" spans="1:18" ht="110.25" x14ac:dyDescent="0.25">
      <c r="A76" s="54" t="s">
        <v>181</v>
      </c>
      <c r="B76" s="60" t="s">
        <v>182</v>
      </c>
      <c r="C76" s="55" t="s">
        <v>198</v>
      </c>
      <c r="D76" s="54">
        <v>221112</v>
      </c>
      <c r="E76" s="55" t="s">
        <v>22</v>
      </c>
      <c r="F76" s="54">
        <v>1</v>
      </c>
      <c r="G76" s="55" t="s">
        <v>199</v>
      </c>
      <c r="H76" s="55" t="s">
        <v>197</v>
      </c>
      <c r="I76" s="55" t="s">
        <v>26</v>
      </c>
      <c r="J76" s="63">
        <v>629.5</v>
      </c>
      <c r="K76" s="54" t="s">
        <v>27</v>
      </c>
      <c r="L76" s="57">
        <v>2278</v>
      </c>
      <c r="M76" s="54">
        <v>2014</v>
      </c>
      <c r="N76" s="54" t="s">
        <v>81</v>
      </c>
      <c r="O76" s="55"/>
      <c r="P76" s="58">
        <f>VLOOKUP(M76,'CEPCI Index'!$A$2:$C$23,3,FALSE)</f>
        <v>1.054504426314876</v>
      </c>
      <c r="Q76" s="59">
        <f t="shared" si="2"/>
        <v>2402.1610831452876</v>
      </c>
      <c r="R76" s="54" t="s">
        <v>128</v>
      </c>
    </row>
    <row r="77" spans="1:18" ht="110.25" x14ac:dyDescent="0.25">
      <c r="A77" s="54" t="s">
        <v>181</v>
      </c>
      <c r="B77" s="60" t="s">
        <v>182</v>
      </c>
      <c r="C77" s="55" t="s">
        <v>200</v>
      </c>
      <c r="D77" s="54">
        <v>221112</v>
      </c>
      <c r="E77" s="55" t="s">
        <v>22</v>
      </c>
      <c r="F77" s="54" t="s">
        <v>201</v>
      </c>
      <c r="G77" s="55" t="s">
        <v>202</v>
      </c>
      <c r="H77" s="55" t="s">
        <v>203</v>
      </c>
      <c r="I77" s="55" t="s">
        <v>26</v>
      </c>
      <c r="J77" s="63">
        <v>542.9</v>
      </c>
      <c r="K77" s="54" t="s">
        <v>27</v>
      </c>
      <c r="L77" s="57">
        <v>2998</v>
      </c>
      <c r="M77" s="54">
        <v>2014</v>
      </c>
      <c r="N77" s="54" t="s">
        <v>81</v>
      </c>
      <c r="O77" s="55"/>
      <c r="P77" s="58">
        <f>VLOOKUP(M77,'CEPCI Index'!$A$2:$C$23,3,FALSE)</f>
        <v>1.054504426314876</v>
      </c>
      <c r="Q77" s="59">
        <f t="shared" si="2"/>
        <v>3161.4042700919981</v>
      </c>
      <c r="R77" s="54" t="s">
        <v>128</v>
      </c>
    </row>
    <row r="78" spans="1:18" ht="110.25" x14ac:dyDescent="0.25">
      <c r="A78" s="54" t="s">
        <v>181</v>
      </c>
      <c r="B78" s="60" t="s">
        <v>182</v>
      </c>
      <c r="C78" s="55" t="s">
        <v>200</v>
      </c>
      <c r="D78" s="54">
        <v>221112</v>
      </c>
      <c r="E78" s="55" t="s">
        <v>22</v>
      </c>
      <c r="F78" s="54" t="s">
        <v>204</v>
      </c>
      <c r="G78" s="55" t="s">
        <v>205</v>
      </c>
      <c r="H78" s="55" t="s">
        <v>203</v>
      </c>
      <c r="I78" s="55" t="s">
        <v>26</v>
      </c>
      <c r="J78" s="63">
        <v>533</v>
      </c>
      <c r="K78" s="54" t="s">
        <v>27</v>
      </c>
      <c r="L78" s="57">
        <v>3178</v>
      </c>
      <c r="M78" s="54">
        <v>2014</v>
      </c>
      <c r="N78" s="54" t="s">
        <v>81</v>
      </c>
      <c r="O78" s="55"/>
      <c r="P78" s="58">
        <f>VLOOKUP(M78,'CEPCI Index'!$A$2:$C$23,3,FALSE)</f>
        <v>1.054504426314876</v>
      </c>
      <c r="Q78" s="59">
        <f t="shared" si="2"/>
        <v>3351.2150668286758</v>
      </c>
      <c r="R78" s="54" t="s">
        <v>128</v>
      </c>
    </row>
    <row r="79" spans="1:18" ht="236.25" x14ac:dyDescent="0.25">
      <c r="A79" s="54" t="s">
        <v>206</v>
      </c>
      <c r="B79" s="60" t="s">
        <v>207</v>
      </c>
      <c r="C79" s="55" t="s">
        <v>208</v>
      </c>
      <c r="D79" s="54">
        <v>221112</v>
      </c>
      <c r="E79" s="55" t="s">
        <v>22</v>
      </c>
      <c r="F79" s="54" t="s">
        <v>209</v>
      </c>
      <c r="G79" s="55" t="s">
        <v>210</v>
      </c>
      <c r="H79" s="55" t="s">
        <v>211</v>
      </c>
      <c r="I79" s="55" t="s">
        <v>26</v>
      </c>
      <c r="J79" s="54">
        <v>700</v>
      </c>
      <c r="K79" s="54" t="s">
        <v>27</v>
      </c>
      <c r="L79" s="57">
        <v>2258</v>
      </c>
      <c r="M79" s="54">
        <v>2011</v>
      </c>
      <c r="N79" s="54" t="s">
        <v>28</v>
      </c>
      <c r="O79" s="55" t="s">
        <v>212</v>
      </c>
      <c r="P79" s="58">
        <f>VLOOKUP(M79,'CEPCI Index'!$A$2:$C$23,3,FALSE)</f>
        <v>1.0372204200102442</v>
      </c>
      <c r="Q79" s="59">
        <f t="shared" si="2"/>
        <v>2342.0437083831312</v>
      </c>
      <c r="R79" s="54" t="s">
        <v>128</v>
      </c>
    </row>
    <row r="80" spans="1:18" ht="236.25" x14ac:dyDescent="0.25">
      <c r="A80" s="54" t="s">
        <v>206</v>
      </c>
      <c r="B80" s="60" t="s">
        <v>207</v>
      </c>
      <c r="C80" s="55" t="s">
        <v>208</v>
      </c>
      <c r="D80" s="54">
        <v>221112</v>
      </c>
      <c r="E80" s="55" t="s">
        <v>22</v>
      </c>
      <c r="F80" s="54" t="s">
        <v>213</v>
      </c>
      <c r="G80" s="55" t="s">
        <v>210</v>
      </c>
      <c r="H80" s="55" t="s">
        <v>211</v>
      </c>
      <c r="I80" s="55" t="s">
        <v>26</v>
      </c>
      <c r="J80" s="54">
        <v>700</v>
      </c>
      <c r="K80" s="54" t="s">
        <v>27</v>
      </c>
      <c r="L80" s="57">
        <v>2258</v>
      </c>
      <c r="M80" s="54">
        <v>2011</v>
      </c>
      <c r="N80" s="54" t="s">
        <v>28</v>
      </c>
      <c r="O80" s="55" t="s">
        <v>212</v>
      </c>
      <c r="P80" s="58">
        <f>VLOOKUP(M80,'CEPCI Index'!$A$2:$C$23,3,FALSE)</f>
        <v>1.0372204200102442</v>
      </c>
      <c r="Q80" s="59">
        <f t="shared" si="2"/>
        <v>2342.0437083831312</v>
      </c>
      <c r="R80" s="54" t="s">
        <v>128</v>
      </c>
    </row>
    <row r="81" spans="1:18" ht="47.25" x14ac:dyDescent="0.25">
      <c r="A81" s="54" t="s">
        <v>120</v>
      </c>
      <c r="B81" s="60" t="s">
        <v>121</v>
      </c>
      <c r="C81" s="55" t="s">
        <v>214</v>
      </c>
      <c r="D81" s="54">
        <v>221112</v>
      </c>
      <c r="E81" s="55" t="s">
        <v>22</v>
      </c>
      <c r="F81" s="54" t="s">
        <v>23</v>
      </c>
      <c r="G81" s="55" t="s">
        <v>215</v>
      </c>
      <c r="H81" s="55" t="s">
        <v>216</v>
      </c>
      <c r="I81" s="55" t="s">
        <v>26</v>
      </c>
      <c r="J81" s="62">
        <v>550</v>
      </c>
      <c r="K81" s="54" t="s">
        <v>27</v>
      </c>
      <c r="L81" s="57">
        <v>4461</v>
      </c>
      <c r="M81" s="54">
        <v>2014</v>
      </c>
      <c r="N81" s="54" t="s">
        <v>28</v>
      </c>
      <c r="O81" s="55"/>
      <c r="P81" s="58">
        <f>VLOOKUP(M81,'CEPCI Index'!$A$2:$C$23,3,FALSE)</f>
        <v>1.054504426314876</v>
      </c>
      <c r="Q81" s="59">
        <f t="shared" si="2"/>
        <v>4704.1442457906614</v>
      </c>
      <c r="R81" s="54" t="s">
        <v>128</v>
      </c>
    </row>
    <row r="82" spans="1:18" ht="47.25" x14ac:dyDescent="0.25">
      <c r="A82" s="54" t="s">
        <v>120</v>
      </c>
      <c r="B82" s="60" t="s">
        <v>121</v>
      </c>
      <c r="C82" s="55" t="s">
        <v>214</v>
      </c>
      <c r="D82" s="54">
        <v>221112</v>
      </c>
      <c r="E82" s="55" t="s">
        <v>22</v>
      </c>
      <c r="F82" s="54" t="s">
        <v>41</v>
      </c>
      <c r="G82" s="55" t="s">
        <v>215</v>
      </c>
      <c r="H82" s="55" t="s">
        <v>217</v>
      </c>
      <c r="I82" s="55" t="s">
        <v>26</v>
      </c>
      <c r="J82" s="62">
        <v>550</v>
      </c>
      <c r="K82" s="54" t="s">
        <v>27</v>
      </c>
      <c r="L82" s="57">
        <v>4424</v>
      </c>
      <c r="M82" s="54">
        <v>2014</v>
      </c>
      <c r="N82" s="54" t="s">
        <v>28</v>
      </c>
      <c r="O82" s="55"/>
      <c r="P82" s="58">
        <f>VLOOKUP(M82,'CEPCI Index'!$A$2:$C$23,3,FALSE)</f>
        <v>1.054504426314876</v>
      </c>
      <c r="Q82" s="59">
        <f t="shared" si="2"/>
        <v>4665.1275820170113</v>
      </c>
      <c r="R82" s="54" t="s">
        <v>128</v>
      </c>
    </row>
    <row r="83" spans="1:18" ht="47.25" x14ac:dyDescent="0.25">
      <c r="A83" s="54" t="s">
        <v>120</v>
      </c>
      <c r="B83" s="60" t="s">
        <v>121</v>
      </c>
      <c r="C83" s="55" t="s">
        <v>214</v>
      </c>
      <c r="D83" s="54">
        <v>221112</v>
      </c>
      <c r="E83" s="55" t="s">
        <v>22</v>
      </c>
      <c r="F83" s="54" t="s">
        <v>83</v>
      </c>
      <c r="G83" s="55" t="s">
        <v>215</v>
      </c>
      <c r="H83" s="55" t="s">
        <v>217</v>
      </c>
      <c r="I83" s="55" t="s">
        <v>26</v>
      </c>
      <c r="J83" s="62">
        <v>550</v>
      </c>
      <c r="K83" s="54" t="s">
        <v>27</v>
      </c>
      <c r="L83" s="57">
        <v>4375</v>
      </c>
      <c r="M83" s="54">
        <v>2014</v>
      </c>
      <c r="N83" s="54" t="s">
        <v>28</v>
      </c>
      <c r="O83" s="55"/>
      <c r="P83" s="58">
        <f>VLOOKUP(M83,'CEPCI Index'!$A$2:$C$23,3,FALSE)</f>
        <v>1.054504426314876</v>
      </c>
      <c r="Q83" s="59">
        <f t="shared" si="2"/>
        <v>4613.4568651275822</v>
      </c>
      <c r="R83" s="54" t="s">
        <v>128</v>
      </c>
    </row>
    <row r="84" spans="1:18" ht="47.25" x14ac:dyDescent="0.25">
      <c r="A84" s="54" t="s">
        <v>120</v>
      </c>
      <c r="B84" s="60" t="s">
        <v>121</v>
      </c>
      <c r="C84" s="55" t="s">
        <v>218</v>
      </c>
      <c r="D84" s="54">
        <v>221112</v>
      </c>
      <c r="E84" s="55" t="s">
        <v>22</v>
      </c>
      <c r="F84" s="54" t="s">
        <v>23</v>
      </c>
      <c r="G84" s="55" t="s">
        <v>219</v>
      </c>
      <c r="H84" s="55" t="s">
        <v>124</v>
      </c>
      <c r="I84" s="55" t="s">
        <v>26</v>
      </c>
      <c r="J84" s="62">
        <v>530</v>
      </c>
      <c r="K84" s="54" t="s">
        <v>27</v>
      </c>
      <c r="L84" s="57">
        <v>256</v>
      </c>
      <c r="M84" s="54">
        <v>2014</v>
      </c>
      <c r="N84" s="54" t="s">
        <v>28</v>
      </c>
      <c r="O84" s="55"/>
      <c r="P84" s="58">
        <f>VLOOKUP(M84,'CEPCI Index'!$A$2:$C$23,3,FALSE)</f>
        <v>1.054504426314876</v>
      </c>
      <c r="Q84" s="59">
        <f t="shared" si="2"/>
        <v>269.95313313660824</v>
      </c>
      <c r="R84" s="54" t="s">
        <v>128</v>
      </c>
    </row>
    <row r="85" spans="1:18" ht="47.25" x14ac:dyDescent="0.25">
      <c r="A85" s="54" t="s">
        <v>120</v>
      </c>
      <c r="B85" s="60" t="s">
        <v>121</v>
      </c>
      <c r="C85" s="55" t="s">
        <v>218</v>
      </c>
      <c r="D85" s="54">
        <v>221112</v>
      </c>
      <c r="E85" s="55" t="s">
        <v>22</v>
      </c>
      <c r="F85" s="54" t="s">
        <v>41</v>
      </c>
      <c r="G85" s="55" t="s">
        <v>219</v>
      </c>
      <c r="H85" s="55" t="s">
        <v>124</v>
      </c>
      <c r="I85" s="55" t="s">
        <v>26</v>
      </c>
      <c r="J85" s="62">
        <v>530</v>
      </c>
      <c r="K85" s="54" t="s">
        <v>27</v>
      </c>
      <c r="L85" s="57">
        <v>308</v>
      </c>
      <c r="M85" s="54">
        <v>2014</v>
      </c>
      <c r="N85" s="54" t="s">
        <v>28</v>
      </c>
      <c r="O85" s="55"/>
      <c r="P85" s="58">
        <f>VLOOKUP(M85,'CEPCI Index'!$A$2:$C$23,3,FALSE)</f>
        <v>1.054504426314876</v>
      </c>
      <c r="Q85" s="59">
        <f t="shared" si="2"/>
        <v>324.7873633049818</v>
      </c>
      <c r="R85" s="54" t="s">
        <v>128</v>
      </c>
    </row>
    <row r="86" spans="1:18" ht="47.25" x14ac:dyDescent="0.25">
      <c r="A86" s="72" t="s">
        <v>492</v>
      </c>
      <c r="B86" s="73" t="s">
        <v>493</v>
      </c>
      <c r="C86" s="73" t="s">
        <v>494</v>
      </c>
      <c r="D86" s="72">
        <v>221112</v>
      </c>
      <c r="E86" s="73" t="s">
        <v>22</v>
      </c>
      <c r="F86" s="72" t="s">
        <v>23</v>
      </c>
      <c r="G86" s="73" t="s">
        <v>495</v>
      </c>
      <c r="H86" s="73" t="s">
        <v>496</v>
      </c>
      <c r="I86" s="73" t="s">
        <v>497</v>
      </c>
      <c r="J86" s="72">
        <v>863</v>
      </c>
      <c r="K86" s="73" t="s">
        <v>27</v>
      </c>
      <c r="L86" s="74">
        <v>5452</v>
      </c>
      <c r="M86" s="72">
        <v>2012</v>
      </c>
      <c r="N86" s="73" t="s">
        <v>28</v>
      </c>
      <c r="O86" s="72"/>
      <c r="P86" s="75">
        <f>VLOOKUP(M86,'CEPCI Index'!$A$2:$C$23,3,FALSE)</f>
        <v>1.0391720834758809</v>
      </c>
      <c r="Q86" s="76">
        <f t="shared" si="2"/>
        <v>5665.5661991105026</v>
      </c>
      <c r="R86" s="72" t="s">
        <v>128</v>
      </c>
    </row>
    <row r="87" spans="1:18" ht="47.25" x14ac:dyDescent="0.25">
      <c r="A87" s="72" t="s">
        <v>492</v>
      </c>
      <c r="B87" s="73" t="s">
        <v>493</v>
      </c>
      <c r="C87" s="73" t="s">
        <v>494</v>
      </c>
      <c r="D87" s="72">
        <v>221113</v>
      </c>
      <c r="E87" s="73" t="s">
        <v>22</v>
      </c>
      <c r="F87" s="72" t="s">
        <v>41</v>
      </c>
      <c r="G87" s="73" t="s">
        <v>495</v>
      </c>
      <c r="H87" s="73" t="s">
        <v>496</v>
      </c>
      <c r="I87" s="73" t="s">
        <v>497</v>
      </c>
      <c r="J87" s="72">
        <v>863</v>
      </c>
      <c r="K87" s="73" t="s">
        <v>27</v>
      </c>
      <c r="L87" s="74">
        <v>5452</v>
      </c>
      <c r="M87" s="72">
        <v>2012</v>
      </c>
      <c r="N87" s="73" t="s">
        <v>28</v>
      </c>
      <c r="O87" s="72"/>
      <c r="P87" s="75">
        <f>VLOOKUP(M87,'CEPCI Index'!$A$2:$C$23,3,FALSE)</f>
        <v>1.0391720834758809</v>
      </c>
      <c r="Q87" s="76">
        <f t="shared" si="2"/>
        <v>5665.5661991105026</v>
      </c>
      <c r="R87" s="72" t="s">
        <v>128</v>
      </c>
    </row>
    <row r="88" spans="1:18" x14ac:dyDescent="0.25">
      <c r="A88" s="89" t="s">
        <v>142</v>
      </c>
      <c r="B88" s="91" t="s">
        <v>532</v>
      </c>
      <c r="C88" s="93" t="s">
        <v>533</v>
      </c>
      <c r="D88" s="94">
        <v>221112</v>
      </c>
      <c r="E88" s="89" t="s">
        <v>22</v>
      </c>
      <c r="F88" s="93" t="s">
        <v>23</v>
      </c>
      <c r="G88" s="93" t="s">
        <v>534</v>
      </c>
      <c r="H88" s="93" t="s">
        <v>535</v>
      </c>
      <c r="I88" s="96" t="s">
        <v>26</v>
      </c>
      <c r="J88" s="97">
        <v>704</v>
      </c>
      <c r="K88" s="94" t="s">
        <v>27</v>
      </c>
      <c r="L88" s="99">
        <v>3305</v>
      </c>
      <c r="M88" s="101">
        <v>2007</v>
      </c>
      <c r="N88" s="93" t="s">
        <v>81</v>
      </c>
      <c r="O88" s="93"/>
      <c r="P88" s="88">
        <f>VLOOKUP(M88,'CEPCI Index'!$A$2:$C$23,3,FALSE)</f>
        <v>1.1562618956985156</v>
      </c>
      <c r="Q88" s="104">
        <f t="shared" si="2"/>
        <v>3821.4455652835941</v>
      </c>
      <c r="R88" s="89" t="s">
        <v>128</v>
      </c>
    </row>
    <row r="89" spans="1:18" x14ac:dyDescent="0.25">
      <c r="A89" s="89" t="s">
        <v>142</v>
      </c>
      <c r="B89" s="91" t="s">
        <v>532</v>
      </c>
      <c r="C89" s="93" t="s">
        <v>533</v>
      </c>
      <c r="D89" s="94">
        <v>221112</v>
      </c>
      <c r="E89" s="89" t="s">
        <v>22</v>
      </c>
      <c r="F89" s="93" t="s">
        <v>41</v>
      </c>
      <c r="G89" s="93" t="s">
        <v>534</v>
      </c>
      <c r="H89" s="93" t="s">
        <v>535</v>
      </c>
      <c r="I89" s="96" t="s">
        <v>26</v>
      </c>
      <c r="J89" s="97">
        <v>704</v>
      </c>
      <c r="K89" s="94" t="s">
        <v>27</v>
      </c>
      <c r="L89" s="99">
        <v>3265</v>
      </c>
      <c r="M89" s="101">
        <v>2007</v>
      </c>
      <c r="N89" s="93" t="s">
        <v>81</v>
      </c>
      <c r="O89" s="93"/>
      <c r="P89" s="88">
        <f>VLOOKUP(M89,'CEPCI Index'!$A$2:$C$23,3,FALSE)</f>
        <v>1.1562618956985156</v>
      </c>
      <c r="Q89" s="104">
        <f t="shared" si="2"/>
        <v>3775.1950894556535</v>
      </c>
      <c r="R89" s="89" t="s">
        <v>128</v>
      </c>
    </row>
    <row r="90" spans="1:18" x14ac:dyDescent="0.25">
      <c r="A90" s="89" t="s">
        <v>142</v>
      </c>
      <c r="B90" s="91" t="s">
        <v>532</v>
      </c>
      <c r="C90" s="93" t="s">
        <v>533</v>
      </c>
      <c r="D90" s="94">
        <v>221112</v>
      </c>
      <c r="E90" s="89" t="s">
        <v>22</v>
      </c>
      <c r="F90" s="93" t="s">
        <v>83</v>
      </c>
      <c r="G90" s="93" t="s">
        <v>536</v>
      </c>
      <c r="H90" s="93" t="s">
        <v>535</v>
      </c>
      <c r="I90" s="96" t="s">
        <v>26</v>
      </c>
      <c r="J90" s="97">
        <v>1150</v>
      </c>
      <c r="K90" s="94" t="s">
        <v>27</v>
      </c>
      <c r="L90" s="99">
        <v>6776</v>
      </c>
      <c r="M90" s="101">
        <v>2007</v>
      </c>
      <c r="N90" s="93" t="s">
        <v>81</v>
      </c>
      <c r="O90" s="93"/>
      <c r="P90" s="88">
        <f>VLOOKUP(M90,'CEPCI Index'!$A$2:$C$23,3,FALSE)</f>
        <v>1.1562618956985156</v>
      </c>
      <c r="Q90" s="104">
        <f t="shared" si="2"/>
        <v>7834.8306052531416</v>
      </c>
      <c r="R90" s="89" t="s">
        <v>128</v>
      </c>
    </row>
    <row r="91" spans="1:18" ht="110.25" x14ac:dyDescent="0.25">
      <c r="A91" s="54" t="s">
        <v>92</v>
      </c>
      <c r="B91" s="60" t="s">
        <v>93</v>
      </c>
      <c r="C91" s="55" t="s">
        <v>220</v>
      </c>
      <c r="D91" s="54">
        <v>221112</v>
      </c>
      <c r="E91" s="55" t="s">
        <v>22</v>
      </c>
      <c r="F91" s="54">
        <v>1</v>
      </c>
      <c r="G91" s="55" t="s">
        <v>221</v>
      </c>
      <c r="H91" s="55" t="s">
        <v>222</v>
      </c>
      <c r="I91" s="55" t="s">
        <v>26</v>
      </c>
      <c r="J91" s="54">
        <v>216</v>
      </c>
      <c r="K91" s="54" t="s">
        <v>27</v>
      </c>
      <c r="L91" s="57">
        <v>1135</v>
      </c>
      <c r="M91" s="54">
        <v>2005</v>
      </c>
      <c r="N91" s="54" t="s">
        <v>28</v>
      </c>
      <c r="O91" s="55"/>
      <c r="P91" s="58">
        <f>VLOOKUP(M91,'CEPCI Index'!$A$2:$C$23,3,FALSE)</f>
        <v>1.2975224263135412</v>
      </c>
      <c r="Q91" s="59">
        <f t="shared" si="2"/>
        <v>1472.6879538658693</v>
      </c>
      <c r="R91" s="54" t="s">
        <v>223</v>
      </c>
    </row>
    <row r="92" spans="1:18" ht="110.25" x14ac:dyDescent="0.25">
      <c r="A92" s="54" t="s">
        <v>92</v>
      </c>
      <c r="B92" s="60" t="s">
        <v>93</v>
      </c>
      <c r="C92" s="55" t="s">
        <v>220</v>
      </c>
      <c r="D92" s="54">
        <v>221112</v>
      </c>
      <c r="E92" s="55" t="s">
        <v>22</v>
      </c>
      <c r="F92" s="54">
        <v>1</v>
      </c>
      <c r="G92" s="55" t="s">
        <v>221</v>
      </c>
      <c r="H92" s="55" t="s">
        <v>224</v>
      </c>
      <c r="I92" s="55" t="s">
        <v>26</v>
      </c>
      <c r="J92" s="54">
        <v>216</v>
      </c>
      <c r="K92" s="54" t="s">
        <v>27</v>
      </c>
      <c r="L92" s="57">
        <v>2487</v>
      </c>
      <c r="M92" s="54">
        <v>2005</v>
      </c>
      <c r="N92" s="54" t="s">
        <v>28</v>
      </c>
      <c r="O92" s="55"/>
      <c r="P92" s="58">
        <f>VLOOKUP(M92,'CEPCI Index'!$A$2:$C$23,3,FALSE)</f>
        <v>1.2975224263135412</v>
      </c>
      <c r="Q92" s="59">
        <f t="shared" si="2"/>
        <v>3226.938274241777</v>
      </c>
      <c r="R92" s="54" t="s">
        <v>223</v>
      </c>
    </row>
    <row r="93" spans="1:18" ht="47.25" x14ac:dyDescent="0.25">
      <c r="A93" s="54" t="s">
        <v>120</v>
      </c>
      <c r="B93" s="60" t="s">
        <v>121</v>
      </c>
      <c r="C93" s="55" t="s">
        <v>122</v>
      </c>
      <c r="D93" s="54">
        <v>221112</v>
      </c>
      <c r="E93" s="55" t="s">
        <v>22</v>
      </c>
      <c r="F93" s="54" t="s">
        <v>41</v>
      </c>
      <c r="G93" s="55" t="s">
        <v>225</v>
      </c>
      <c r="H93" s="55" t="s">
        <v>124</v>
      </c>
      <c r="I93" s="55" t="s">
        <v>26</v>
      </c>
      <c r="J93" s="62">
        <v>210</v>
      </c>
      <c r="K93" s="54" t="s">
        <v>27</v>
      </c>
      <c r="L93" s="57">
        <v>342</v>
      </c>
      <c r="M93" s="54">
        <v>2014</v>
      </c>
      <c r="N93" s="54" t="s">
        <v>28</v>
      </c>
      <c r="O93" s="55"/>
      <c r="P93" s="58">
        <f>VLOOKUP(M93,'CEPCI Index'!$A$2:$C$23,3,FALSE)</f>
        <v>1.054504426314876</v>
      </c>
      <c r="Q93" s="59">
        <f t="shared" si="2"/>
        <v>360.6405137996876</v>
      </c>
      <c r="R93" s="54" t="s">
        <v>223</v>
      </c>
    </row>
    <row r="94" spans="1:18" ht="110.25" x14ac:dyDescent="0.25">
      <c r="A94" s="54" t="s">
        <v>120</v>
      </c>
      <c r="B94" s="60" t="s">
        <v>121</v>
      </c>
      <c r="C94" s="55" t="s">
        <v>226</v>
      </c>
      <c r="D94" s="54">
        <v>221112</v>
      </c>
      <c r="E94" s="55" t="s">
        <v>22</v>
      </c>
      <c r="F94" s="54" t="s">
        <v>83</v>
      </c>
      <c r="G94" s="55" t="s">
        <v>227</v>
      </c>
      <c r="H94" s="55" t="s">
        <v>228</v>
      </c>
      <c r="I94" s="55" t="s">
        <v>26</v>
      </c>
      <c r="J94" s="62">
        <v>230</v>
      </c>
      <c r="K94" s="54" t="s">
        <v>27</v>
      </c>
      <c r="L94" s="57">
        <v>644</v>
      </c>
      <c r="M94" s="54">
        <v>2014</v>
      </c>
      <c r="N94" s="54" t="s">
        <v>28</v>
      </c>
      <c r="O94" s="55" t="s">
        <v>229</v>
      </c>
      <c r="P94" s="58">
        <f>VLOOKUP(M94,'CEPCI Index'!$A$2:$C$23,3,FALSE)</f>
        <v>1.054504426314876</v>
      </c>
      <c r="Q94" s="59">
        <f t="shared" si="2"/>
        <v>679.10085054678007</v>
      </c>
      <c r="R94" s="54" t="s">
        <v>223</v>
      </c>
    </row>
    <row r="95" spans="1:18" ht="47.25" x14ac:dyDescent="0.25">
      <c r="A95" s="54" t="s">
        <v>120</v>
      </c>
      <c r="B95" s="60" t="s">
        <v>121</v>
      </c>
      <c r="C95" s="55" t="s">
        <v>226</v>
      </c>
      <c r="D95" s="54">
        <v>221112</v>
      </c>
      <c r="E95" s="55" t="s">
        <v>22</v>
      </c>
      <c r="F95" s="54" t="s">
        <v>83</v>
      </c>
      <c r="G95" s="55" t="s">
        <v>227</v>
      </c>
      <c r="H95" s="55" t="s">
        <v>230</v>
      </c>
      <c r="I95" s="55" t="s">
        <v>26</v>
      </c>
      <c r="J95" s="62">
        <v>230</v>
      </c>
      <c r="K95" s="54" t="s">
        <v>27</v>
      </c>
      <c r="L95" s="57">
        <v>2635</v>
      </c>
      <c r="M95" s="54">
        <v>2014</v>
      </c>
      <c r="N95" s="54" t="s">
        <v>28</v>
      </c>
      <c r="O95" s="55"/>
      <c r="P95" s="58">
        <f>VLOOKUP(M95,'CEPCI Index'!$A$2:$C$23,3,FALSE)</f>
        <v>1.054504426314876</v>
      </c>
      <c r="Q95" s="59">
        <f t="shared" si="2"/>
        <v>2778.6191633396979</v>
      </c>
      <c r="R95" s="54" t="s">
        <v>223</v>
      </c>
    </row>
    <row r="96" spans="1:18" ht="63" x14ac:dyDescent="0.25">
      <c r="A96" s="54" t="s">
        <v>38</v>
      </c>
      <c r="B96" s="55" t="s">
        <v>231</v>
      </c>
      <c r="C96" s="55" t="s">
        <v>232</v>
      </c>
      <c r="D96" s="54">
        <v>221112</v>
      </c>
      <c r="E96" s="55" t="s">
        <v>22</v>
      </c>
      <c r="F96" s="56" t="s">
        <v>41</v>
      </c>
      <c r="G96" s="55" t="s">
        <v>233</v>
      </c>
      <c r="H96" s="55" t="s">
        <v>43</v>
      </c>
      <c r="I96" s="55" t="s">
        <v>26</v>
      </c>
      <c r="J96" s="54">
        <v>288.89999999999998</v>
      </c>
      <c r="K96" s="54" t="s">
        <v>27</v>
      </c>
      <c r="L96" s="57">
        <v>2979</v>
      </c>
      <c r="M96" s="54">
        <v>2011</v>
      </c>
      <c r="N96" s="54" t="s">
        <v>28</v>
      </c>
      <c r="O96" s="55" t="s">
        <v>44</v>
      </c>
      <c r="P96" s="58">
        <f>VLOOKUP(M96,'CEPCI Index'!$A$2:$C$23,3,FALSE)</f>
        <v>1.0372204200102442</v>
      </c>
      <c r="Q96" s="59">
        <f t="shared" si="2"/>
        <v>3089.8796312105173</v>
      </c>
      <c r="R96" s="54" t="s">
        <v>223</v>
      </c>
    </row>
    <row r="97" spans="1:18" ht="63" x14ac:dyDescent="0.25">
      <c r="A97" s="54" t="s">
        <v>38</v>
      </c>
      <c r="B97" s="55" t="s">
        <v>234</v>
      </c>
      <c r="C97" s="55" t="s">
        <v>232</v>
      </c>
      <c r="D97" s="54">
        <v>221112</v>
      </c>
      <c r="E97" s="55" t="s">
        <v>22</v>
      </c>
      <c r="F97" s="56" t="s">
        <v>83</v>
      </c>
      <c r="G97" s="55" t="s">
        <v>235</v>
      </c>
      <c r="H97" s="55" t="s">
        <v>43</v>
      </c>
      <c r="I97" s="55" t="s">
        <v>26</v>
      </c>
      <c r="J97" s="54">
        <v>312.3</v>
      </c>
      <c r="K97" s="54" t="s">
        <v>27</v>
      </c>
      <c r="L97" s="57">
        <v>2838</v>
      </c>
      <c r="M97" s="54">
        <v>2011</v>
      </c>
      <c r="N97" s="54" t="s">
        <v>28</v>
      </c>
      <c r="O97" s="55" t="s">
        <v>44</v>
      </c>
      <c r="P97" s="58">
        <f>VLOOKUP(M97,'CEPCI Index'!$A$2:$C$23,3,FALSE)</f>
        <v>1.0372204200102442</v>
      </c>
      <c r="Q97" s="59">
        <f t="shared" si="2"/>
        <v>2943.6315519890732</v>
      </c>
      <c r="R97" s="54" t="s">
        <v>223</v>
      </c>
    </row>
    <row r="98" spans="1:18" ht="63" x14ac:dyDescent="0.25">
      <c r="A98" s="54" t="s">
        <v>38</v>
      </c>
      <c r="B98" s="55" t="s">
        <v>236</v>
      </c>
      <c r="C98" s="55" t="s">
        <v>232</v>
      </c>
      <c r="D98" s="54">
        <v>221112</v>
      </c>
      <c r="E98" s="55" t="s">
        <v>22</v>
      </c>
      <c r="F98" s="56" t="s">
        <v>50</v>
      </c>
      <c r="G98" s="55" t="s">
        <v>237</v>
      </c>
      <c r="H98" s="55" t="s">
        <v>43</v>
      </c>
      <c r="I98" s="55" t="s">
        <v>26</v>
      </c>
      <c r="J98" s="54">
        <v>414</v>
      </c>
      <c r="K98" s="54" t="s">
        <v>27</v>
      </c>
      <c r="L98" s="57">
        <v>3083</v>
      </c>
      <c r="M98" s="54">
        <v>2011</v>
      </c>
      <c r="N98" s="54" t="s">
        <v>28</v>
      </c>
      <c r="O98" s="55" t="s">
        <v>44</v>
      </c>
      <c r="P98" s="58">
        <f>VLOOKUP(M98,'CEPCI Index'!$A$2:$C$23,3,FALSE)</f>
        <v>1.0372204200102442</v>
      </c>
      <c r="Q98" s="59">
        <f t="shared" si="2"/>
        <v>3197.7505548915829</v>
      </c>
      <c r="R98" s="54" t="s">
        <v>223</v>
      </c>
    </row>
    <row r="99" spans="1:18" ht="63" x14ac:dyDescent="0.25">
      <c r="A99" s="54" t="s">
        <v>38</v>
      </c>
      <c r="B99" s="55" t="s">
        <v>238</v>
      </c>
      <c r="C99" s="55" t="s">
        <v>239</v>
      </c>
      <c r="D99" s="54">
        <v>221112</v>
      </c>
      <c r="E99" s="55" t="s">
        <v>22</v>
      </c>
      <c r="F99" s="56" t="s">
        <v>23</v>
      </c>
      <c r="G99" s="55" t="s">
        <v>240</v>
      </c>
      <c r="H99" s="55" t="s">
        <v>43</v>
      </c>
      <c r="I99" s="55" t="s">
        <v>26</v>
      </c>
      <c r="J99" s="54">
        <v>410.9</v>
      </c>
      <c r="K99" s="54" t="s">
        <v>27</v>
      </c>
      <c r="L99" s="57">
        <v>2135</v>
      </c>
      <c r="M99" s="54">
        <v>2011</v>
      </c>
      <c r="N99" s="54" t="s">
        <v>28</v>
      </c>
      <c r="O99" s="55" t="s">
        <v>44</v>
      </c>
      <c r="P99" s="58">
        <f>VLOOKUP(M99,'CEPCI Index'!$A$2:$C$23,3,FALSE)</f>
        <v>1.0372204200102442</v>
      </c>
      <c r="Q99" s="59">
        <f t="shared" ref="Q99:Q130" si="3">L99*P99</f>
        <v>2214.4655967218714</v>
      </c>
      <c r="R99" s="54" t="s">
        <v>223</v>
      </c>
    </row>
    <row r="100" spans="1:18" ht="63" x14ac:dyDescent="0.25">
      <c r="A100" s="54" t="s">
        <v>38</v>
      </c>
      <c r="B100" s="55" t="s">
        <v>241</v>
      </c>
      <c r="C100" s="55" t="s">
        <v>239</v>
      </c>
      <c r="D100" s="54">
        <v>221112</v>
      </c>
      <c r="E100" s="55" t="s">
        <v>22</v>
      </c>
      <c r="F100" s="56" t="s">
        <v>41</v>
      </c>
      <c r="G100" s="55" t="s">
        <v>242</v>
      </c>
      <c r="H100" s="55" t="s">
        <v>243</v>
      </c>
      <c r="I100" s="55" t="s">
        <v>26</v>
      </c>
      <c r="J100" s="54">
        <v>410.9</v>
      </c>
      <c r="K100" s="54" t="s">
        <v>27</v>
      </c>
      <c r="L100" s="57">
        <v>1900</v>
      </c>
      <c r="M100" s="54">
        <v>2011</v>
      </c>
      <c r="N100" s="54" t="s">
        <v>28</v>
      </c>
      <c r="O100" s="55" t="s">
        <v>44</v>
      </c>
      <c r="P100" s="58">
        <f>VLOOKUP(M100,'CEPCI Index'!$A$2:$C$23,3,FALSE)</f>
        <v>1.0372204200102442</v>
      </c>
      <c r="Q100" s="59">
        <f t="shared" si="3"/>
        <v>1970.718798019464</v>
      </c>
      <c r="R100" s="54" t="s">
        <v>223</v>
      </c>
    </row>
    <row r="101" spans="1:18" ht="63" x14ac:dyDescent="0.25">
      <c r="A101" s="54" t="s">
        <v>54</v>
      </c>
      <c r="B101" s="60" t="s">
        <v>55</v>
      </c>
      <c r="C101" s="55" t="s">
        <v>56</v>
      </c>
      <c r="D101" s="54">
        <v>221112</v>
      </c>
      <c r="E101" s="55" t="s">
        <v>22</v>
      </c>
      <c r="F101" s="54" t="s">
        <v>244</v>
      </c>
      <c r="G101" s="55" t="s">
        <v>245</v>
      </c>
      <c r="H101" s="55" t="s">
        <v>59</v>
      </c>
      <c r="I101" s="55" t="s">
        <v>26</v>
      </c>
      <c r="J101" s="54">
        <v>275.39999999999998</v>
      </c>
      <c r="K101" s="54" t="s">
        <v>27</v>
      </c>
      <c r="L101" s="57">
        <v>4064</v>
      </c>
      <c r="M101" s="54">
        <v>2008</v>
      </c>
      <c r="N101" s="54" t="s">
        <v>28</v>
      </c>
      <c r="O101" s="55" t="s">
        <v>44</v>
      </c>
      <c r="P101" s="58">
        <f>VLOOKUP(M101,'CEPCI Index'!$A$2:$C$23,3,FALSE)</f>
        <v>1.0557872784150157</v>
      </c>
      <c r="Q101" s="59">
        <f t="shared" si="3"/>
        <v>4290.7194994786241</v>
      </c>
      <c r="R101" s="54" t="s">
        <v>223</v>
      </c>
    </row>
    <row r="102" spans="1:18" ht="63" x14ac:dyDescent="0.25">
      <c r="A102" s="54" t="s">
        <v>54</v>
      </c>
      <c r="B102" s="60" t="s">
        <v>55</v>
      </c>
      <c r="C102" s="55" t="s">
        <v>246</v>
      </c>
      <c r="D102" s="54">
        <v>221112</v>
      </c>
      <c r="E102" s="55" t="s">
        <v>22</v>
      </c>
      <c r="F102" s="54" t="s">
        <v>247</v>
      </c>
      <c r="G102" s="55" t="s">
        <v>248</v>
      </c>
      <c r="H102" s="55" t="s">
        <v>25</v>
      </c>
      <c r="I102" s="55" t="s">
        <v>26</v>
      </c>
      <c r="J102" s="54">
        <v>446.4</v>
      </c>
      <c r="K102" s="54" t="s">
        <v>27</v>
      </c>
      <c r="L102" s="57">
        <v>4877</v>
      </c>
      <c r="M102" s="54">
        <v>2008</v>
      </c>
      <c r="N102" s="54" t="s">
        <v>28</v>
      </c>
      <c r="O102" s="55" t="s">
        <v>44</v>
      </c>
      <c r="P102" s="58">
        <f>VLOOKUP(M102,'CEPCI Index'!$A$2:$C$23,3,FALSE)</f>
        <v>1.0557872784150157</v>
      </c>
      <c r="Q102" s="59">
        <f t="shared" si="3"/>
        <v>5149.0745568300317</v>
      </c>
      <c r="R102" s="54" t="s">
        <v>223</v>
      </c>
    </row>
    <row r="103" spans="1:18" ht="63" x14ac:dyDescent="0.25">
      <c r="A103" s="54" t="s">
        <v>54</v>
      </c>
      <c r="B103" s="60" t="s">
        <v>55</v>
      </c>
      <c r="C103" s="55" t="s">
        <v>246</v>
      </c>
      <c r="D103" s="54">
        <v>221112</v>
      </c>
      <c r="E103" s="55" t="s">
        <v>22</v>
      </c>
      <c r="F103" s="54" t="s">
        <v>249</v>
      </c>
      <c r="G103" s="55" t="s">
        <v>248</v>
      </c>
      <c r="H103" s="55" t="s">
        <v>25</v>
      </c>
      <c r="I103" s="55" t="s">
        <v>26</v>
      </c>
      <c r="J103" s="54">
        <v>446.4</v>
      </c>
      <c r="K103" s="54" t="s">
        <v>27</v>
      </c>
      <c r="L103" s="57">
        <v>4713</v>
      </c>
      <c r="M103" s="54">
        <v>2008</v>
      </c>
      <c r="N103" s="54" t="s">
        <v>28</v>
      </c>
      <c r="O103" s="55" t="s">
        <v>44</v>
      </c>
      <c r="P103" s="58">
        <f>VLOOKUP(M103,'CEPCI Index'!$A$2:$C$23,3,FALSE)</f>
        <v>1.0557872784150157</v>
      </c>
      <c r="Q103" s="59">
        <f t="shared" si="3"/>
        <v>4975.9254431699692</v>
      </c>
      <c r="R103" s="54" t="s">
        <v>223</v>
      </c>
    </row>
    <row r="104" spans="1:18" ht="63" x14ac:dyDescent="0.25">
      <c r="A104" s="54" t="s">
        <v>54</v>
      </c>
      <c r="B104" s="60" t="s">
        <v>55</v>
      </c>
      <c r="C104" s="55" t="s">
        <v>56</v>
      </c>
      <c r="D104" s="54">
        <v>221112</v>
      </c>
      <c r="E104" s="55" t="s">
        <v>22</v>
      </c>
      <c r="F104" s="56" t="s">
        <v>250</v>
      </c>
      <c r="G104" s="55" t="s">
        <v>245</v>
      </c>
      <c r="H104" s="55" t="s">
        <v>251</v>
      </c>
      <c r="I104" s="55" t="s">
        <v>26</v>
      </c>
      <c r="J104" s="54">
        <v>275.39999999999998</v>
      </c>
      <c r="K104" s="54" t="s">
        <v>27</v>
      </c>
      <c r="L104" s="57">
        <v>3629</v>
      </c>
      <c r="M104" s="54">
        <v>2008</v>
      </c>
      <c r="N104" s="54" t="s">
        <v>28</v>
      </c>
      <c r="O104" s="55" t="s">
        <v>44</v>
      </c>
      <c r="P104" s="58">
        <f>VLOOKUP(M104,'CEPCI Index'!$A$2:$C$23,3,FALSE)</f>
        <v>1.0557872784150157</v>
      </c>
      <c r="Q104" s="59">
        <f t="shared" si="3"/>
        <v>3831.4520333680921</v>
      </c>
      <c r="R104" s="54" t="s">
        <v>223</v>
      </c>
    </row>
    <row r="105" spans="1:18" ht="110.25" x14ac:dyDescent="0.25">
      <c r="A105" s="54" t="s">
        <v>142</v>
      </c>
      <c r="B105" s="55" t="s">
        <v>143</v>
      </c>
      <c r="C105" s="55" t="s">
        <v>144</v>
      </c>
      <c r="D105" s="54">
        <v>221112</v>
      </c>
      <c r="E105" s="55" t="s">
        <v>22</v>
      </c>
      <c r="F105" s="54" t="s">
        <v>252</v>
      </c>
      <c r="G105" s="55" t="s">
        <v>253</v>
      </c>
      <c r="H105" s="55" t="s">
        <v>147</v>
      </c>
      <c r="I105" s="55" t="s">
        <v>26</v>
      </c>
      <c r="J105" s="54">
        <v>462.6</v>
      </c>
      <c r="K105" s="54" t="s">
        <v>27</v>
      </c>
      <c r="L105" s="57">
        <v>4293</v>
      </c>
      <c r="M105" s="54">
        <v>2007</v>
      </c>
      <c r="N105" s="54" t="s">
        <v>28</v>
      </c>
      <c r="O105" s="55"/>
      <c r="P105" s="58">
        <f>VLOOKUP(M105,'CEPCI Index'!$A$2:$C$23,3,FALSE)</f>
        <v>1.1562618956985156</v>
      </c>
      <c r="Q105" s="59">
        <f t="shared" si="3"/>
        <v>4963.8323182337272</v>
      </c>
      <c r="R105" s="54" t="s">
        <v>223</v>
      </c>
    </row>
    <row r="106" spans="1:18" ht="110.25" x14ac:dyDescent="0.25">
      <c r="A106" s="54" t="s">
        <v>92</v>
      </c>
      <c r="B106" s="60" t="s">
        <v>93</v>
      </c>
      <c r="C106" s="55" t="s">
        <v>220</v>
      </c>
      <c r="D106" s="54">
        <v>221112</v>
      </c>
      <c r="E106" s="55" t="s">
        <v>22</v>
      </c>
      <c r="F106" s="54">
        <v>2</v>
      </c>
      <c r="G106" s="55" t="s">
        <v>254</v>
      </c>
      <c r="H106" s="55" t="s">
        <v>222</v>
      </c>
      <c r="I106" s="55" t="s">
        <v>26</v>
      </c>
      <c r="J106" s="54">
        <v>440</v>
      </c>
      <c r="K106" s="54" t="s">
        <v>27</v>
      </c>
      <c r="L106" s="57">
        <v>839</v>
      </c>
      <c r="M106" s="54">
        <v>2005</v>
      </c>
      <c r="N106" s="54" t="s">
        <v>28</v>
      </c>
      <c r="O106" s="55"/>
      <c r="P106" s="58">
        <f>VLOOKUP(M106,'CEPCI Index'!$A$2:$C$23,3,FALSE)</f>
        <v>1.2975224263135412</v>
      </c>
      <c r="Q106" s="59">
        <f t="shared" si="3"/>
        <v>1088.6213156770611</v>
      </c>
      <c r="R106" s="54" t="s">
        <v>223</v>
      </c>
    </row>
    <row r="107" spans="1:18" ht="110.25" x14ac:dyDescent="0.25">
      <c r="A107" s="54" t="s">
        <v>92</v>
      </c>
      <c r="B107" s="60" t="s">
        <v>93</v>
      </c>
      <c r="C107" s="55" t="s">
        <v>220</v>
      </c>
      <c r="D107" s="54">
        <v>221112</v>
      </c>
      <c r="E107" s="55" t="s">
        <v>22</v>
      </c>
      <c r="F107" s="54">
        <v>2</v>
      </c>
      <c r="G107" s="55" t="s">
        <v>254</v>
      </c>
      <c r="H107" s="55" t="s">
        <v>255</v>
      </c>
      <c r="I107" s="55" t="s">
        <v>26</v>
      </c>
      <c r="J107" s="54">
        <v>440</v>
      </c>
      <c r="K107" s="54" t="s">
        <v>27</v>
      </c>
      <c r="L107" s="57">
        <v>1659</v>
      </c>
      <c r="M107" s="54">
        <v>2005</v>
      </c>
      <c r="N107" s="54" t="s">
        <v>28</v>
      </c>
      <c r="O107" s="55"/>
      <c r="P107" s="58">
        <f>VLOOKUP(M107,'CEPCI Index'!$A$2:$C$23,3,FALSE)</f>
        <v>1.2975224263135412</v>
      </c>
      <c r="Q107" s="59">
        <f t="shared" si="3"/>
        <v>2152.589705254165</v>
      </c>
      <c r="R107" s="54" t="s">
        <v>223</v>
      </c>
    </row>
    <row r="108" spans="1:18" ht="110.25" x14ac:dyDescent="0.25">
      <c r="A108" s="54" t="s">
        <v>92</v>
      </c>
      <c r="B108" s="60" t="s">
        <v>93</v>
      </c>
      <c r="C108" s="55" t="s">
        <v>153</v>
      </c>
      <c r="D108" s="54">
        <v>221112</v>
      </c>
      <c r="E108" s="55" t="s">
        <v>22</v>
      </c>
      <c r="F108" s="54">
        <v>1</v>
      </c>
      <c r="G108" s="55" t="s">
        <v>256</v>
      </c>
      <c r="H108" s="55" t="s">
        <v>222</v>
      </c>
      <c r="I108" s="55" t="s">
        <v>26</v>
      </c>
      <c r="J108" s="54">
        <v>277</v>
      </c>
      <c r="K108" s="54" t="s">
        <v>27</v>
      </c>
      <c r="L108" s="57">
        <v>1105</v>
      </c>
      <c r="M108" s="54">
        <v>2006</v>
      </c>
      <c r="N108" s="54" t="s">
        <v>28</v>
      </c>
      <c r="O108" s="55"/>
      <c r="P108" s="58">
        <f>VLOOKUP(M108,'CEPCI Index'!$A$2:$C$23,3,FALSE)</f>
        <v>1.215972778222578</v>
      </c>
      <c r="Q108" s="59">
        <f t="shared" si="3"/>
        <v>1343.6499199359487</v>
      </c>
      <c r="R108" s="54" t="s">
        <v>223</v>
      </c>
    </row>
    <row r="109" spans="1:18" ht="110.25" x14ac:dyDescent="0.25">
      <c r="A109" s="54" t="s">
        <v>92</v>
      </c>
      <c r="B109" s="60" t="s">
        <v>93</v>
      </c>
      <c r="C109" s="55" t="s">
        <v>153</v>
      </c>
      <c r="D109" s="54">
        <v>221112</v>
      </c>
      <c r="E109" s="55" t="s">
        <v>22</v>
      </c>
      <c r="F109" s="54">
        <v>1</v>
      </c>
      <c r="G109" s="55" t="s">
        <v>256</v>
      </c>
      <c r="H109" s="55" t="s">
        <v>257</v>
      </c>
      <c r="I109" s="55" t="s">
        <v>26</v>
      </c>
      <c r="J109" s="54">
        <v>277</v>
      </c>
      <c r="K109" s="54" t="s">
        <v>27</v>
      </c>
      <c r="L109" s="57">
        <v>1424</v>
      </c>
      <c r="M109" s="54">
        <v>2006</v>
      </c>
      <c r="N109" s="54" t="s">
        <v>28</v>
      </c>
      <c r="O109" s="55"/>
      <c r="P109" s="58">
        <f>VLOOKUP(M109,'CEPCI Index'!$A$2:$C$23,3,FALSE)</f>
        <v>1.215972778222578</v>
      </c>
      <c r="Q109" s="59">
        <f t="shared" si="3"/>
        <v>1731.5452361889511</v>
      </c>
      <c r="R109" s="54" t="s">
        <v>223</v>
      </c>
    </row>
    <row r="110" spans="1:18" ht="110.25" x14ac:dyDescent="0.25">
      <c r="A110" s="54" t="s">
        <v>92</v>
      </c>
      <c r="B110" s="60" t="s">
        <v>93</v>
      </c>
      <c r="C110" s="55" t="s">
        <v>258</v>
      </c>
      <c r="D110" s="54">
        <v>221112</v>
      </c>
      <c r="E110" s="55" t="s">
        <v>22</v>
      </c>
      <c r="F110" s="54">
        <v>1</v>
      </c>
      <c r="G110" s="55" t="s">
        <v>259</v>
      </c>
      <c r="H110" s="55" t="s">
        <v>260</v>
      </c>
      <c r="I110" s="55" t="s">
        <v>26</v>
      </c>
      <c r="J110" s="54">
        <v>435</v>
      </c>
      <c r="K110" s="54" t="s">
        <v>27</v>
      </c>
      <c r="L110" s="57">
        <v>586</v>
      </c>
      <c r="M110" s="54">
        <v>2011</v>
      </c>
      <c r="N110" s="54" t="s">
        <v>81</v>
      </c>
      <c r="O110" s="55"/>
      <c r="P110" s="58">
        <f>VLOOKUP(M110,'CEPCI Index'!$A$2:$C$23,3,FALSE)</f>
        <v>1.0372204200102442</v>
      </c>
      <c r="Q110" s="59">
        <f t="shared" si="3"/>
        <v>607.81116612600306</v>
      </c>
      <c r="R110" s="54" t="s">
        <v>223</v>
      </c>
    </row>
    <row r="111" spans="1:18" ht="110.25" x14ac:dyDescent="0.25">
      <c r="A111" s="54" t="s">
        <v>92</v>
      </c>
      <c r="B111" s="60" t="s">
        <v>93</v>
      </c>
      <c r="C111" s="55" t="s">
        <v>258</v>
      </c>
      <c r="D111" s="54">
        <v>221112</v>
      </c>
      <c r="E111" s="55" t="s">
        <v>22</v>
      </c>
      <c r="F111" s="54">
        <v>2</v>
      </c>
      <c r="G111" s="55" t="s">
        <v>259</v>
      </c>
      <c r="H111" s="55" t="s">
        <v>260</v>
      </c>
      <c r="I111" s="55" t="s">
        <v>26</v>
      </c>
      <c r="J111" s="54">
        <v>435</v>
      </c>
      <c r="K111" s="54" t="s">
        <v>27</v>
      </c>
      <c r="L111" s="57">
        <v>661</v>
      </c>
      <c r="M111" s="54">
        <v>2011</v>
      </c>
      <c r="N111" s="54" t="s">
        <v>81</v>
      </c>
      <c r="O111" s="55"/>
      <c r="P111" s="58">
        <f>VLOOKUP(M111,'CEPCI Index'!$A$2:$C$23,3,FALSE)</f>
        <v>1.0372204200102442</v>
      </c>
      <c r="Q111" s="59">
        <f t="shared" si="3"/>
        <v>685.60269762677137</v>
      </c>
      <c r="R111" s="54" t="s">
        <v>223</v>
      </c>
    </row>
    <row r="112" spans="1:18" ht="110.25" x14ac:dyDescent="0.25">
      <c r="A112" s="54" t="s">
        <v>92</v>
      </c>
      <c r="B112" s="60" t="s">
        <v>93</v>
      </c>
      <c r="C112" s="55" t="s">
        <v>261</v>
      </c>
      <c r="D112" s="54">
        <v>221112</v>
      </c>
      <c r="E112" s="55" t="s">
        <v>22</v>
      </c>
      <c r="F112" s="54" t="s">
        <v>262</v>
      </c>
      <c r="G112" s="55" t="s">
        <v>263</v>
      </c>
      <c r="H112" s="55" t="s">
        <v>264</v>
      </c>
      <c r="I112" s="55" t="s">
        <v>26</v>
      </c>
      <c r="J112" s="54">
        <v>450</v>
      </c>
      <c r="K112" s="54" t="s">
        <v>27</v>
      </c>
      <c r="L112" s="57">
        <v>305</v>
      </c>
      <c r="M112" s="54">
        <v>2011</v>
      </c>
      <c r="N112" s="54" t="s">
        <v>81</v>
      </c>
      <c r="O112" s="55"/>
      <c r="P112" s="58">
        <f>VLOOKUP(M112,'CEPCI Index'!$A$2:$C$23,3,FALSE)</f>
        <v>1.0372204200102442</v>
      </c>
      <c r="Q112" s="59">
        <f t="shared" si="3"/>
        <v>316.35222810312445</v>
      </c>
      <c r="R112" s="54" t="s">
        <v>223</v>
      </c>
    </row>
    <row r="113" spans="1:18" ht="94.5" x14ac:dyDescent="0.25">
      <c r="A113" s="54" t="s">
        <v>265</v>
      </c>
      <c r="B113" s="60" t="s">
        <v>266</v>
      </c>
      <c r="C113" s="55" t="s">
        <v>267</v>
      </c>
      <c r="D113" s="54">
        <v>221112</v>
      </c>
      <c r="E113" s="55" t="s">
        <v>22</v>
      </c>
      <c r="F113" s="54" t="s">
        <v>268</v>
      </c>
      <c r="G113" s="55" t="s">
        <v>269</v>
      </c>
      <c r="H113" s="55" t="s">
        <v>71</v>
      </c>
      <c r="I113" s="55" t="s">
        <v>26</v>
      </c>
      <c r="J113" s="54">
        <v>320</v>
      </c>
      <c r="K113" s="54" t="s">
        <v>27</v>
      </c>
      <c r="L113" s="57">
        <v>1591</v>
      </c>
      <c r="M113" s="54">
        <v>2010</v>
      </c>
      <c r="N113" s="54" t="s">
        <v>28</v>
      </c>
      <c r="O113" s="55" t="s">
        <v>270</v>
      </c>
      <c r="P113" s="58">
        <f>VLOOKUP(M113,'CEPCI Index'!$A$2:$C$23,3,FALSE)</f>
        <v>1.1029411764705883</v>
      </c>
      <c r="Q113" s="59">
        <f t="shared" si="3"/>
        <v>1754.7794117647061</v>
      </c>
      <c r="R113" s="54" t="s">
        <v>223</v>
      </c>
    </row>
    <row r="114" spans="1:18" ht="110.25" x14ac:dyDescent="0.25">
      <c r="A114" s="54" t="s">
        <v>115</v>
      </c>
      <c r="B114" s="60" t="s">
        <v>116</v>
      </c>
      <c r="C114" s="55" t="s">
        <v>271</v>
      </c>
      <c r="D114" s="54">
        <v>221112</v>
      </c>
      <c r="E114" s="55" t="s">
        <v>22</v>
      </c>
      <c r="F114" s="54">
        <v>2</v>
      </c>
      <c r="G114" s="55" t="s">
        <v>272</v>
      </c>
      <c r="H114" s="55" t="s">
        <v>177</v>
      </c>
      <c r="I114" s="55" t="s">
        <v>103</v>
      </c>
      <c r="J114" s="54">
        <v>495</v>
      </c>
      <c r="K114" s="54" t="s">
        <v>27</v>
      </c>
      <c r="L114" s="57">
        <v>303</v>
      </c>
      <c r="M114" s="54">
        <v>2011</v>
      </c>
      <c r="N114" s="54" t="s">
        <v>28</v>
      </c>
      <c r="O114" s="55"/>
      <c r="P114" s="58">
        <f>VLOOKUP(M114,'CEPCI Index'!$A$2:$C$23,3,FALSE)</f>
        <v>1.0372204200102442</v>
      </c>
      <c r="Q114" s="59">
        <f t="shared" si="3"/>
        <v>314.27778726310396</v>
      </c>
      <c r="R114" s="54" t="s">
        <v>223</v>
      </c>
    </row>
    <row r="115" spans="1:18" ht="110.25" x14ac:dyDescent="0.25">
      <c r="A115" s="54" t="s">
        <v>115</v>
      </c>
      <c r="B115" s="60" t="s">
        <v>116</v>
      </c>
      <c r="C115" s="55" t="s">
        <v>273</v>
      </c>
      <c r="D115" s="54">
        <v>221112</v>
      </c>
      <c r="E115" s="55" t="s">
        <v>22</v>
      </c>
      <c r="F115" s="54">
        <v>3</v>
      </c>
      <c r="G115" s="55" t="s">
        <v>274</v>
      </c>
      <c r="H115" s="55" t="s">
        <v>177</v>
      </c>
      <c r="I115" s="55" t="s">
        <v>103</v>
      </c>
      <c r="J115" s="54">
        <v>332</v>
      </c>
      <c r="K115" s="54" t="s">
        <v>27</v>
      </c>
      <c r="L115" s="57">
        <v>947</v>
      </c>
      <c r="M115" s="54">
        <v>2011</v>
      </c>
      <c r="N115" s="54" t="s">
        <v>28</v>
      </c>
      <c r="O115" s="55"/>
      <c r="P115" s="58">
        <f>VLOOKUP(M115,'CEPCI Index'!$A$2:$C$23,3,FALSE)</f>
        <v>1.0372204200102442</v>
      </c>
      <c r="Q115" s="59">
        <f t="shared" si="3"/>
        <v>982.24773774970117</v>
      </c>
      <c r="R115" s="54" t="s">
        <v>223</v>
      </c>
    </row>
    <row r="116" spans="1:18" ht="110.25" x14ac:dyDescent="0.25">
      <c r="A116" s="54" t="s">
        <v>115</v>
      </c>
      <c r="B116" s="60" t="s">
        <v>116</v>
      </c>
      <c r="C116" s="55" t="s">
        <v>271</v>
      </c>
      <c r="D116" s="54">
        <v>221112</v>
      </c>
      <c r="E116" s="55" t="s">
        <v>22</v>
      </c>
      <c r="F116" s="54">
        <v>3</v>
      </c>
      <c r="G116" s="55" t="s">
        <v>275</v>
      </c>
      <c r="H116" s="55" t="s">
        <v>177</v>
      </c>
      <c r="I116" s="55" t="s">
        <v>26</v>
      </c>
      <c r="J116" s="54">
        <v>490</v>
      </c>
      <c r="K116" s="54" t="s">
        <v>27</v>
      </c>
      <c r="L116" s="57">
        <v>313</v>
      </c>
      <c r="M116" s="54">
        <v>2011</v>
      </c>
      <c r="N116" s="54" t="s">
        <v>28</v>
      </c>
      <c r="O116" s="55"/>
      <c r="P116" s="58">
        <f>VLOOKUP(M116,'CEPCI Index'!$A$2:$C$23,3,FALSE)</f>
        <v>1.0372204200102442</v>
      </c>
      <c r="Q116" s="59">
        <f t="shared" si="3"/>
        <v>324.64999146320645</v>
      </c>
      <c r="R116" s="54" t="s">
        <v>223</v>
      </c>
    </row>
    <row r="117" spans="1:18" ht="110.25" x14ac:dyDescent="0.25">
      <c r="A117" s="54" t="s">
        <v>115</v>
      </c>
      <c r="B117" s="60" t="s">
        <v>116</v>
      </c>
      <c r="C117" s="55" t="s">
        <v>271</v>
      </c>
      <c r="D117" s="54">
        <v>221112</v>
      </c>
      <c r="E117" s="55" t="s">
        <v>22</v>
      </c>
      <c r="F117" s="54">
        <v>3</v>
      </c>
      <c r="G117" s="55" t="s">
        <v>275</v>
      </c>
      <c r="H117" s="55" t="s">
        <v>178</v>
      </c>
      <c r="I117" s="55" t="s">
        <v>26</v>
      </c>
      <c r="J117" s="54">
        <v>490</v>
      </c>
      <c r="K117" s="54" t="s">
        <v>27</v>
      </c>
      <c r="L117" s="57">
        <v>1544</v>
      </c>
      <c r="M117" s="54">
        <v>2011</v>
      </c>
      <c r="N117" s="54" t="s">
        <v>28</v>
      </c>
      <c r="O117" s="55"/>
      <c r="P117" s="58">
        <f>VLOOKUP(M117,'CEPCI Index'!$A$2:$C$23,3,FALSE)</f>
        <v>1.0372204200102442</v>
      </c>
      <c r="Q117" s="59">
        <f t="shared" si="3"/>
        <v>1601.4683284958171</v>
      </c>
      <c r="R117" s="54" t="s">
        <v>223</v>
      </c>
    </row>
    <row r="118" spans="1:18" ht="110.25" x14ac:dyDescent="0.25">
      <c r="A118" s="54" t="s">
        <v>115</v>
      </c>
      <c r="B118" s="60" t="s">
        <v>116</v>
      </c>
      <c r="C118" s="55" t="s">
        <v>271</v>
      </c>
      <c r="D118" s="54">
        <v>221112</v>
      </c>
      <c r="E118" s="55" t="s">
        <v>22</v>
      </c>
      <c r="F118" s="54">
        <v>4</v>
      </c>
      <c r="G118" s="55" t="s">
        <v>275</v>
      </c>
      <c r="H118" s="55" t="s">
        <v>177</v>
      </c>
      <c r="I118" s="55" t="s">
        <v>26</v>
      </c>
      <c r="J118" s="54">
        <v>490</v>
      </c>
      <c r="K118" s="54" t="s">
        <v>27</v>
      </c>
      <c r="L118" s="57">
        <v>313</v>
      </c>
      <c r="M118" s="54">
        <v>2011</v>
      </c>
      <c r="N118" s="54" t="s">
        <v>28</v>
      </c>
      <c r="O118" s="55"/>
      <c r="P118" s="58">
        <f>VLOOKUP(M118,'CEPCI Index'!$A$2:$C$23,3,FALSE)</f>
        <v>1.0372204200102442</v>
      </c>
      <c r="Q118" s="59">
        <f t="shared" si="3"/>
        <v>324.64999146320645</v>
      </c>
      <c r="R118" s="54" t="s">
        <v>223</v>
      </c>
    </row>
    <row r="119" spans="1:18" ht="110.25" x14ac:dyDescent="0.25">
      <c r="A119" s="54" t="s">
        <v>115</v>
      </c>
      <c r="B119" s="60" t="s">
        <v>116</v>
      </c>
      <c r="C119" s="55" t="s">
        <v>271</v>
      </c>
      <c r="D119" s="54">
        <v>221112</v>
      </c>
      <c r="E119" s="55" t="s">
        <v>22</v>
      </c>
      <c r="F119" s="54">
        <v>4</v>
      </c>
      <c r="G119" s="55" t="s">
        <v>275</v>
      </c>
      <c r="H119" s="55" t="s">
        <v>178</v>
      </c>
      <c r="I119" s="55" t="s">
        <v>26</v>
      </c>
      <c r="J119" s="54">
        <v>490</v>
      </c>
      <c r="K119" s="54" t="s">
        <v>27</v>
      </c>
      <c r="L119" s="57">
        <v>1544</v>
      </c>
      <c r="M119" s="54">
        <v>2011</v>
      </c>
      <c r="N119" s="54" t="s">
        <v>28</v>
      </c>
      <c r="O119" s="55"/>
      <c r="P119" s="58">
        <f>VLOOKUP(M119,'CEPCI Index'!$A$2:$C$23,3,FALSE)</f>
        <v>1.0372204200102442</v>
      </c>
      <c r="Q119" s="59">
        <f t="shared" si="3"/>
        <v>1601.4683284958171</v>
      </c>
      <c r="R119" s="54" t="s">
        <v>223</v>
      </c>
    </row>
    <row r="120" spans="1:18" ht="110.25" x14ac:dyDescent="0.25">
      <c r="A120" s="54" t="s">
        <v>276</v>
      </c>
      <c r="B120" s="60" t="s">
        <v>277</v>
      </c>
      <c r="C120" s="55" t="s">
        <v>278</v>
      </c>
      <c r="D120" s="54">
        <v>221112</v>
      </c>
      <c r="E120" s="55" t="s">
        <v>22</v>
      </c>
      <c r="F120" s="54" t="s">
        <v>279</v>
      </c>
      <c r="G120" s="55" t="s">
        <v>280</v>
      </c>
      <c r="H120" s="55" t="s">
        <v>281</v>
      </c>
      <c r="I120" s="55" t="s">
        <v>26</v>
      </c>
      <c r="J120" s="54">
        <v>474</v>
      </c>
      <c r="K120" s="54" t="s">
        <v>27</v>
      </c>
      <c r="L120" s="57">
        <v>825</v>
      </c>
      <c r="M120" s="54">
        <v>2011</v>
      </c>
      <c r="N120" s="54" t="s">
        <v>28</v>
      </c>
      <c r="O120" s="55"/>
      <c r="P120" s="58">
        <f>VLOOKUP(M120,'CEPCI Index'!$A$2:$C$23,3,FALSE)</f>
        <v>1.0372204200102442</v>
      </c>
      <c r="Q120" s="59">
        <f t="shared" si="3"/>
        <v>855.70684650845146</v>
      </c>
      <c r="R120" s="54" t="s">
        <v>223</v>
      </c>
    </row>
    <row r="121" spans="1:18" ht="63" x14ac:dyDescent="0.25">
      <c r="A121" s="54" t="s">
        <v>282</v>
      </c>
      <c r="B121" s="60" t="s">
        <v>283</v>
      </c>
      <c r="C121" s="55" t="s">
        <v>284</v>
      </c>
      <c r="D121" s="54">
        <v>221112</v>
      </c>
      <c r="E121" s="55" t="s">
        <v>22</v>
      </c>
      <c r="F121" s="54" t="s">
        <v>23</v>
      </c>
      <c r="G121" s="55" t="s">
        <v>285</v>
      </c>
      <c r="H121" s="55" t="s">
        <v>286</v>
      </c>
      <c r="I121" s="55" t="s">
        <v>26</v>
      </c>
      <c r="J121" s="58">
        <v>430</v>
      </c>
      <c r="K121" s="54" t="s">
        <v>27</v>
      </c>
      <c r="L121" s="57">
        <v>2697</v>
      </c>
      <c r="M121" s="54">
        <v>2016</v>
      </c>
      <c r="N121" s="54" t="s">
        <v>28</v>
      </c>
      <c r="O121" s="55" t="s">
        <v>114</v>
      </c>
      <c r="P121" s="58">
        <f>VLOOKUP(M121,'CEPCI Index'!$A$2:$C$23,3,FALSE)</f>
        <v>1.1214694480339671</v>
      </c>
      <c r="Q121" s="59">
        <f t="shared" si="3"/>
        <v>3024.603101347609</v>
      </c>
      <c r="R121" s="54" t="s">
        <v>223</v>
      </c>
    </row>
    <row r="122" spans="1:18" ht="63" x14ac:dyDescent="0.25">
      <c r="A122" s="54" t="s">
        <v>282</v>
      </c>
      <c r="B122" s="60" t="s">
        <v>283</v>
      </c>
      <c r="C122" s="55" t="s">
        <v>284</v>
      </c>
      <c r="D122" s="54">
        <v>221112</v>
      </c>
      <c r="E122" s="55" t="s">
        <v>22</v>
      </c>
      <c r="F122" s="54" t="s">
        <v>41</v>
      </c>
      <c r="G122" s="55" t="s">
        <v>285</v>
      </c>
      <c r="H122" s="55" t="s">
        <v>286</v>
      </c>
      <c r="I122" s="55" t="s">
        <v>26</v>
      </c>
      <c r="J122" s="58">
        <v>430</v>
      </c>
      <c r="K122" s="54" t="s">
        <v>27</v>
      </c>
      <c r="L122" s="57">
        <v>2774</v>
      </c>
      <c r="M122" s="54">
        <v>2016</v>
      </c>
      <c r="N122" s="54" t="s">
        <v>28</v>
      </c>
      <c r="O122" s="55" t="s">
        <v>114</v>
      </c>
      <c r="P122" s="58">
        <f>VLOOKUP(M122,'CEPCI Index'!$A$2:$C$23,3,FALSE)</f>
        <v>1.1214694480339671</v>
      </c>
      <c r="Q122" s="59">
        <f t="shared" si="3"/>
        <v>3110.9562488462248</v>
      </c>
      <c r="R122" s="54" t="s">
        <v>223</v>
      </c>
    </row>
    <row r="123" spans="1:18" ht="63" x14ac:dyDescent="0.25">
      <c r="A123" s="54" t="s">
        <v>282</v>
      </c>
      <c r="B123" s="60" t="s">
        <v>283</v>
      </c>
      <c r="C123" s="55" t="s">
        <v>287</v>
      </c>
      <c r="D123" s="54">
        <v>221112</v>
      </c>
      <c r="E123" s="55" t="s">
        <v>22</v>
      </c>
      <c r="F123" s="54" t="s">
        <v>23</v>
      </c>
      <c r="G123" s="55" t="s">
        <v>285</v>
      </c>
      <c r="H123" s="55" t="s">
        <v>286</v>
      </c>
      <c r="I123" s="55" t="s">
        <v>26</v>
      </c>
      <c r="J123" s="58">
        <v>430</v>
      </c>
      <c r="K123" s="54" t="s">
        <v>27</v>
      </c>
      <c r="L123" s="57">
        <v>2871</v>
      </c>
      <c r="M123" s="54">
        <v>2016</v>
      </c>
      <c r="N123" s="54" t="s">
        <v>28</v>
      </c>
      <c r="O123" s="55" t="s">
        <v>114</v>
      </c>
      <c r="P123" s="58">
        <f>VLOOKUP(M123,'CEPCI Index'!$A$2:$C$23,3,FALSE)</f>
        <v>1.1214694480339671</v>
      </c>
      <c r="Q123" s="59">
        <f t="shared" si="3"/>
        <v>3219.7387853055193</v>
      </c>
      <c r="R123" s="54" t="s">
        <v>223</v>
      </c>
    </row>
    <row r="124" spans="1:18" ht="63" x14ac:dyDescent="0.25">
      <c r="A124" s="54" t="s">
        <v>282</v>
      </c>
      <c r="B124" s="60" t="s">
        <v>283</v>
      </c>
      <c r="C124" s="55" t="s">
        <v>287</v>
      </c>
      <c r="D124" s="54">
        <v>221112</v>
      </c>
      <c r="E124" s="55" t="s">
        <v>22</v>
      </c>
      <c r="F124" s="54" t="s">
        <v>41</v>
      </c>
      <c r="G124" s="55" t="s">
        <v>285</v>
      </c>
      <c r="H124" s="55" t="s">
        <v>286</v>
      </c>
      <c r="I124" s="55" t="s">
        <v>26</v>
      </c>
      <c r="J124" s="58">
        <v>430</v>
      </c>
      <c r="K124" s="54" t="s">
        <v>27</v>
      </c>
      <c r="L124" s="57">
        <v>2928</v>
      </c>
      <c r="M124" s="54">
        <v>2016</v>
      </c>
      <c r="N124" s="54" t="s">
        <v>28</v>
      </c>
      <c r="O124" s="55" t="s">
        <v>114</v>
      </c>
      <c r="P124" s="58">
        <f>VLOOKUP(M124,'CEPCI Index'!$A$2:$C$23,3,FALSE)</f>
        <v>1.1214694480339671</v>
      </c>
      <c r="Q124" s="59">
        <f t="shared" si="3"/>
        <v>3283.6625438434558</v>
      </c>
      <c r="R124" s="54" t="s">
        <v>223</v>
      </c>
    </row>
    <row r="125" spans="1:18" ht="47.25" x14ac:dyDescent="0.25">
      <c r="A125" s="54" t="s">
        <v>120</v>
      </c>
      <c r="B125" s="60" t="s">
        <v>121</v>
      </c>
      <c r="C125" s="55" t="s">
        <v>226</v>
      </c>
      <c r="D125" s="54">
        <v>221112</v>
      </c>
      <c r="E125" s="55" t="s">
        <v>22</v>
      </c>
      <c r="F125" s="54" t="s">
        <v>50</v>
      </c>
      <c r="G125" s="55" t="s">
        <v>288</v>
      </c>
      <c r="H125" s="55" t="s">
        <v>124</v>
      </c>
      <c r="I125" s="55" t="s">
        <v>26</v>
      </c>
      <c r="J125" s="62">
        <v>330</v>
      </c>
      <c r="K125" s="54" t="s">
        <v>27</v>
      </c>
      <c r="L125" s="57">
        <v>246</v>
      </c>
      <c r="M125" s="54">
        <v>2014</v>
      </c>
      <c r="N125" s="54" t="s">
        <v>28</v>
      </c>
      <c r="O125" s="55"/>
      <c r="P125" s="58">
        <f>VLOOKUP(M125,'CEPCI Index'!$A$2:$C$23,3,FALSE)</f>
        <v>1.054504426314876</v>
      </c>
      <c r="Q125" s="59">
        <f t="shared" si="3"/>
        <v>259.40808887345946</v>
      </c>
      <c r="R125" s="54" t="s">
        <v>223</v>
      </c>
    </row>
    <row r="126" spans="1:18" ht="47.25" x14ac:dyDescent="0.25">
      <c r="A126" s="54" t="s">
        <v>120</v>
      </c>
      <c r="B126" s="60" t="s">
        <v>121</v>
      </c>
      <c r="C126" s="55" t="s">
        <v>289</v>
      </c>
      <c r="D126" s="54">
        <v>221112</v>
      </c>
      <c r="E126" s="55" t="s">
        <v>22</v>
      </c>
      <c r="F126" s="54" t="s">
        <v>23</v>
      </c>
      <c r="G126" s="55" t="s">
        <v>290</v>
      </c>
      <c r="H126" s="55" t="s">
        <v>291</v>
      </c>
      <c r="I126" s="55" t="s">
        <v>26</v>
      </c>
      <c r="J126" s="62">
        <v>335</v>
      </c>
      <c r="K126" s="54" t="s">
        <v>27</v>
      </c>
      <c r="L126" s="57">
        <v>4036</v>
      </c>
      <c r="M126" s="54">
        <v>2014</v>
      </c>
      <c r="N126" s="54" t="s">
        <v>28</v>
      </c>
      <c r="O126" s="102"/>
      <c r="P126" s="58">
        <f>VLOOKUP(M126,'CEPCI Index'!$A$2:$C$23,3,FALSE)</f>
        <v>1.054504426314876</v>
      </c>
      <c r="Q126" s="59">
        <f t="shared" si="3"/>
        <v>4255.9798646068393</v>
      </c>
      <c r="R126" s="54" t="s">
        <v>223</v>
      </c>
    </row>
    <row r="127" spans="1:18" ht="47.25" x14ac:dyDescent="0.25">
      <c r="A127" s="72" t="s">
        <v>492</v>
      </c>
      <c r="B127" s="73" t="s">
        <v>493</v>
      </c>
      <c r="C127" s="73" t="s">
        <v>498</v>
      </c>
      <c r="D127" s="72">
        <v>221123</v>
      </c>
      <c r="E127" s="73" t="s">
        <v>499</v>
      </c>
      <c r="F127" s="72" t="s">
        <v>41</v>
      </c>
      <c r="G127" s="73" t="s">
        <v>500</v>
      </c>
      <c r="H127" s="73" t="s">
        <v>501</v>
      </c>
      <c r="I127" s="73" t="s">
        <v>502</v>
      </c>
      <c r="J127" s="72">
        <v>2246.1999999999998</v>
      </c>
      <c r="K127" s="73" t="s">
        <v>299</v>
      </c>
      <c r="L127" s="74">
        <v>209</v>
      </c>
      <c r="M127" s="72">
        <v>2012</v>
      </c>
      <c r="N127" s="73" t="s">
        <v>28</v>
      </c>
      <c r="O127" s="103"/>
      <c r="P127" s="75">
        <f>VLOOKUP(M127,'CEPCI Index'!$A$2:$C$23,3,FALSE)</f>
        <v>1.0391720834758809</v>
      </c>
      <c r="Q127" s="76">
        <f t="shared" si="3"/>
        <v>217.18696544645911</v>
      </c>
      <c r="R127" s="72" t="s">
        <v>223</v>
      </c>
    </row>
    <row r="128" spans="1:18" ht="173.25" x14ac:dyDescent="0.25">
      <c r="A128" s="54" t="s">
        <v>292</v>
      </c>
      <c r="B128" s="60" t="s">
        <v>293</v>
      </c>
      <c r="C128" s="55" t="s">
        <v>294</v>
      </c>
      <c r="D128" s="54">
        <v>212210</v>
      </c>
      <c r="E128" s="55" t="s">
        <v>295</v>
      </c>
      <c r="F128" s="54">
        <v>1</v>
      </c>
      <c r="G128" s="55" t="s">
        <v>296</v>
      </c>
      <c r="H128" s="55" t="s">
        <v>297</v>
      </c>
      <c r="I128" s="55" t="s">
        <v>298</v>
      </c>
      <c r="J128" s="54">
        <v>79</v>
      </c>
      <c r="K128" s="54" t="s">
        <v>299</v>
      </c>
      <c r="L128" s="57">
        <v>723</v>
      </c>
      <c r="M128" s="54">
        <v>2012</v>
      </c>
      <c r="N128" s="54" t="s">
        <v>28</v>
      </c>
      <c r="O128" s="55" t="s">
        <v>300</v>
      </c>
      <c r="P128" s="58">
        <f>VLOOKUP(M128,'CEPCI Index'!$A$2:$C$23,3,FALSE)</f>
        <v>1.0391720834758809</v>
      </c>
      <c r="Q128" s="59">
        <f t="shared" si="3"/>
        <v>751.32141635306186</v>
      </c>
      <c r="R128" s="54" t="s">
        <v>301</v>
      </c>
    </row>
    <row r="129" spans="1:18" ht="94.5" x14ac:dyDescent="0.25">
      <c r="A129" s="54" t="s">
        <v>292</v>
      </c>
      <c r="B129" s="60" t="s">
        <v>293</v>
      </c>
      <c r="C129" s="55" t="s">
        <v>294</v>
      </c>
      <c r="D129" s="54">
        <v>212210</v>
      </c>
      <c r="E129" s="55" t="s">
        <v>295</v>
      </c>
      <c r="F129" s="54">
        <v>2</v>
      </c>
      <c r="G129" s="55" t="s">
        <v>296</v>
      </c>
      <c r="H129" s="55" t="s">
        <v>297</v>
      </c>
      <c r="I129" s="55" t="s">
        <v>298</v>
      </c>
      <c r="J129" s="54">
        <v>79</v>
      </c>
      <c r="K129" s="54" t="s">
        <v>299</v>
      </c>
      <c r="L129" s="57">
        <v>723</v>
      </c>
      <c r="M129" s="54">
        <v>2012</v>
      </c>
      <c r="N129" s="54" t="s">
        <v>28</v>
      </c>
      <c r="O129" s="55" t="s">
        <v>114</v>
      </c>
      <c r="P129" s="58">
        <f>VLOOKUP(M129,'CEPCI Index'!$A$2:$C$23,3,FALSE)</f>
        <v>1.0391720834758809</v>
      </c>
      <c r="Q129" s="59">
        <f t="shared" si="3"/>
        <v>751.32141635306186</v>
      </c>
      <c r="R129" s="54" t="s">
        <v>301</v>
      </c>
    </row>
    <row r="130" spans="1:18" ht="141.75" x14ac:dyDescent="0.25">
      <c r="A130" s="54" t="s">
        <v>302</v>
      </c>
      <c r="B130" s="60" t="s">
        <v>303</v>
      </c>
      <c r="C130" s="55" t="s">
        <v>304</v>
      </c>
      <c r="D130" s="54">
        <v>311313</v>
      </c>
      <c r="E130" s="55" t="s">
        <v>305</v>
      </c>
      <c r="F130" s="54" t="s">
        <v>306</v>
      </c>
      <c r="G130" s="55" t="s">
        <v>307</v>
      </c>
      <c r="H130" s="55" t="s">
        <v>308</v>
      </c>
      <c r="I130" s="55" t="s">
        <v>309</v>
      </c>
      <c r="J130" s="58">
        <v>350</v>
      </c>
      <c r="K130" s="54" t="s">
        <v>299</v>
      </c>
      <c r="L130" s="57">
        <v>2163</v>
      </c>
      <c r="M130" s="54">
        <v>2010</v>
      </c>
      <c r="N130" s="54" t="s">
        <v>28</v>
      </c>
      <c r="O130" s="55" t="s">
        <v>310</v>
      </c>
      <c r="P130" s="58">
        <f>VLOOKUP(M130,'CEPCI Index'!$A$2:$C$23,3,FALSE)</f>
        <v>1.1029411764705883</v>
      </c>
      <c r="Q130" s="59">
        <f t="shared" si="3"/>
        <v>2385.6617647058824</v>
      </c>
      <c r="R130" s="54" t="s">
        <v>537</v>
      </c>
    </row>
    <row r="131" spans="1:18" ht="141.75" x14ac:dyDescent="0.25">
      <c r="A131" s="54" t="s">
        <v>302</v>
      </c>
      <c r="B131" s="60" t="s">
        <v>303</v>
      </c>
      <c r="C131" s="55" t="s">
        <v>304</v>
      </c>
      <c r="D131" s="54">
        <v>311313</v>
      </c>
      <c r="E131" s="55" t="s">
        <v>305</v>
      </c>
      <c r="F131" s="54" t="s">
        <v>306</v>
      </c>
      <c r="G131" s="55" t="s">
        <v>307</v>
      </c>
      <c r="H131" s="55" t="s">
        <v>311</v>
      </c>
      <c r="I131" s="55" t="s">
        <v>309</v>
      </c>
      <c r="J131" s="58">
        <v>350</v>
      </c>
      <c r="K131" s="54" t="s">
        <v>299</v>
      </c>
      <c r="L131" s="57">
        <v>1270</v>
      </c>
      <c r="M131" s="54">
        <v>2010</v>
      </c>
      <c r="N131" s="54" t="s">
        <v>28</v>
      </c>
      <c r="O131" s="55" t="s">
        <v>310</v>
      </c>
      <c r="P131" s="58">
        <f>VLOOKUP(M131,'CEPCI Index'!$A$2:$C$23,3,FALSE)</f>
        <v>1.1029411764705883</v>
      </c>
      <c r="Q131" s="59">
        <f t="shared" ref="Q131:Q143" si="4">L131*P131</f>
        <v>1400.7352941176471</v>
      </c>
      <c r="R131" s="54" t="s">
        <v>537</v>
      </c>
    </row>
    <row r="132" spans="1:18" ht="63" x14ac:dyDescent="0.25">
      <c r="A132" s="54" t="s">
        <v>312</v>
      </c>
      <c r="B132" s="60" t="s">
        <v>313</v>
      </c>
      <c r="C132" s="55" t="s">
        <v>314</v>
      </c>
      <c r="D132" s="54">
        <v>322110</v>
      </c>
      <c r="E132" s="55" t="s">
        <v>315</v>
      </c>
      <c r="F132" s="56" t="s">
        <v>316</v>
      </c>
      <c r="G132" s="55" t="s">
        <v>317</v>
      </c>
      <c r="H132" s="55" t="s">
        <v>318</v>
      </c>
      <c r="I132" s="55" t="s">
        <v>319</v>
      </c>
      <c r="J132" s="54">
        <v>679</v>
      </c>
      <c r="K132" s="54" t="s">
        <v>299</v>
      </c>
      <c r="L132" s="57">
        <v>585</v>
      </c>
      <c r="M132" s="54">
        <v>2006</v>
      </c>
      <c r="N132" s="54" t="s">
        <v>28</v>
      </c>
      <c r="O132" s="55" t="s">
        <v>44</v>
      </c>
      <c r="P132" s="58">
        <f>VLOOKUP(M132,'CEPCI Index'!$A$2:$C$23,3,FALSE)</f>
        <v>1.215972778222578</v>
      </c>
      <c r="Q132" s="59">
        <f t="shared" si="4"/>
        <v>711.34407526020811</v>
      </c>
      <c r="R132" s="54" t="s">
        <v>537</v>
      </c>
    </row>
    <row r="133" spans="1:18" ht="105" x14ac:dyDescent="0.25">
      <c r="A133" s="54" t="s">
        <v>320</v>
      </c>
      <c r="B133" s="64" t="s">
        <v>321</v>
      </c>
      <c r="C133" s="55" t="s">
        <v>322</v>
      </c>
      <c r="D133" s="54">
        <v>322110</v>
      </c>
      <c r="E133" s="55" t="s">
        <v>315</v>
      </c>
      <c r="F133" s="54" t="s">
        <v>530</v>
      </c>
      <c r="G133" s="55" t="s">
        <v>323</v>
      </c>
      <c r="H133" s="55" t="s">
        <v>324</v>
      </c>
      <c r="I133" s="55" t="s">
        <v>325</v>
      </c>
      <c r="J133" s="65">
        <v>800</v>
      </c>
      <c r="K133" s="54" t="s">
        <v>299</v>
      </c>
      <c r="L133" s="57">
        <v>3228</v>
      </c>
      <c r="M133" s="54">
        <v>2007</v>
      </c>
      <c r="N133" s="54" t="s">
        <v>81</v>
      </c>
      <c r="O133" s="55"/>
      <c r="P133" s="58">
        <f>VLOOKUP(M133,'CEPCI Index'!$A$2:$C$23,3,FALSE)</f>
        <v>1.1562618956985156</v>
      </c>
      <c r="Q133" s="59">
        <f t="shared" si="4"/>
        <v>3732.4133993148084</v>
      </c>
      <c r="R133" s="54" t="s">
        <v>537</v>
      </c>
    </row>
    <row r="134" spans="1:18" ht="94.5" x14ac:dyDescent="0.25">
      <c r="A134" s="54" t="s">
        <v>320</v>
      </c>
      <c r="B134" s="55" t="s">
        <v>321</v>
      </c>
      <c r="C134" s="55" t="s">
        <v>326</v>
      </c>
      <c r="D134" s="54">
        <v>322110</v>
      </c>
      <c r="E134" s="55" t="s">
        <v>315</v>
      </c>
      <c r="F134" s="54" t="s">
        <v>327</v>
      </c>
      <c r="G134" s="55" t="s">
        <v>328</v>
      </c>
      <c r="H134" s="55" t="s">
        <v>329</v>
      </c>
      <c r="I134" s="55" t="s">
        <v>330</v>
      </c>
      <c r="J134" s="58">
        <v>784</v>
      </c>
      <c r="K134" s="54" t="s">
        <v>299</v>
      </c>
      <c r="L134" s="57">
        <v>1663</v>
      </c>
      <c r="M134" s="54">
        <v>2007</v>
      </c>
      <c r="N134" s="54" t="s">
        <v>81</v>
      </c>
      <c r="O134" s="54" t="s">
        <v>531</v>
      </c>
      <c r="P134" s="58">
        <f>VLOOKUP(M134,'CEPCI Index'!$A$2:$C$23,3,FALSE)</f>
        <v>1.1562618956985156</v>
      </c>
      <c r="Q134" s="59">
        <f t="shared" si="4"/>
        <v>1922.8635325466314</v>
      </c>
      <c r="R134" s="54" t="s">
        <v>537</v>
      </c>
    </row>
    <row r="135" spans="1:18" ht="94.5" x14ac:dyDescent="0.25">
      <c r="A135" s="54" t="s">
        <v>320</v>
      </c>
      <c r="B135" s="55" t="s">
        <v>321</v>
      </c>
      <c r="C135" s="55" t="s">
        <v>326</v>
      </c>
      <c r="D135" s="54">
        <v>322110</v>
      </c>
      <c r="E135" s="55" t="s">
        <v>315</v>
      </c>
      <c r="F135" s="54" t="s">
        <v>331</v>
      </c>
      <c r="G135" s="55" t="s">
        <v>328</v>
      </c>
      <c r="H135" s="55" t="s">
        <v>329</v>
      </c>
      <c r="I135" s="55" t="s">
        <v>332</v>
      </c>
      <c r="J135" s="58">
        <v>784</v>
      </c>
      <c r="K135" s="54" t="s">
        <v>299</v>
      </c>
      <c r="L135" s="57">
        <v>1663</v>
      </c>
      <c r="M135" s="54">
        <v>2007</v>
      </c>
      <c r="N135" s="54" t="s">
        <v>81</v>
      </c>
      <c r="O135" s="54" t="s">
        <v>531</v>
      </c>
      <c r="P135" s="58">
        <f>VLOOKUP(M135,'CEPCI Index'!$A$2:$C$23,3,FALSE)</f>
        <v>1.1562618956985156</v>
      </c>
      <c r="Q135" s="59">
        <f t="shared" si="4"/>
        <v>1922.8635325466314</v>
      </c>
      <c r="R135" s="54" t="s">
        <v>537</v>
      </c>
    </row>
    <row r="136" spans="1:18" ht="94.5" x14ac:dyDescent="0.25">
      <c r="A136" s="54" t="s">
        <v>320</v>
      </c>
      <c r="B136" s="55" t="s">
        <v>321</v>
      </c>
      <c r="C136" s="55" t="s">
        <v>333</v>
      </c>
      <c r="D136" s="54">
        <v>322110</v>
      </c>
      <c r="E136" s="55" t="s">
        <v>315</v>
      </c>
      <c r="F136" s="54" t="s">
        <v>334</v>
      </c>
      <c r="G136" s="55" t="s">
        <v>335</v>
      </c>
      <c r="H136" s="55" t="s">
        <v>336</v>
      </c>
      <c r="I136" s="55" t="s">
        <v>337</v>
      </c>
      <c r="J136" s="58">
        <v>400</v>
      </c>
      <c r="K136" s="54" t="s">
        <v>299</v>
      </c>
      <c r="L136" s="57">
        <v>370</v>
      </c>
      <c r="M136" s="54">
        <v>2007</v>
      </c>
      <c r="N136" s="54" t="s">
        <v>28</v>
      </c>
      <c r="O136" s="55"/>
      <c r="P136" s="58">
        <f>VLOOKUP(M136,'CEPCI Index'!$A$2:$C$23,3,FALSE)</f>
        <v>1.1562618956985156</v>
      </c>
      <c r="Q136" s="59">
        <f t="shared" si="4"/>
        <v>427.81690140845075</v>
      </c>
      <c r="R136" s="54" t="s">
        <v>537</v>
      </c>
    </row>
    <row r="137" spans="1:18" ht="63" x14ac:dyDescent="0.25">
      <c r="A137" s="54" t="s">
        <v>338</v>
      </c>
      <c r="B137" s="64" t="s">
        <v>339</v>
      </c>
      <c r="C137" s="55" t="s">
        <v>340</v>
      </c>
      <c r="D137" s="54">
        <v>322110</v>
      </c>
      <c r="E137" s="55" t="s">
        <v>315</v>
      </c>
      <c r="F137" s="54" t="s">
        <v>341</v>
      </c>
      <c r="G137" s="55" t="s">
        <v>342</v>
      </c>
      <c r="H137" s="55" t="s">
        <v>343</v>
      </c>
      <c r="I137" s="55" t="s">
        <v>344</v>
      </c>
      <c r="J137" s="58">
        <v>680</v>
      </c>
      <c r="K137" s="54" t="s">
        <v>299</v>
      </c>
      <c r="L137" s="57">
        <v>631</v>
      </c>
      <c r="M137" s="54">
        <v>2007</v>
      </c>
      <c r="N137" s="54" t="s">
        <v>28</v>
      </c>
      <c r="O137" s="55" t="s">
        <v>345</v>
      </c>
      <c r="P137" s="58">
        <f>VLOOKUP(M137,'CEPCI Index'!$A$2:$C$23,3,FALSE)</f>
        <v>1.1562618956985156</v>
      </c>
      <c r="Q137" s="59">
        <f t="shared" si="4"/>
        <v>729.6012561857633</v>
      </c>
      <c r="R137" s="54" t="s">
        <v>537</v>
      </c>
    </row>
    <row r="138" spans="1:18" ht="63" x14ac:dyDescent="0.25">
      <c r="A138" s="54" t="s">
        <v>338</v>
      </c>
      <c r="B138" s="64" t="s">
        <v>339</v>
      </c>
      <c r="C138" s="55" t="s">
        <v>340</v>
      </c>
      <c r="D138" s="54">
        <v>322110</v>
      </c>
      <c r="E138" s="55" t="s">
        <v>315</v>
      </c>
      <c r="F138" s="54" t="s">
        <v>346</v>
      </c>
      <c r="G138" s="55" t="s">
        <v>342</v>
      </c>
      <c r="H138" s="55" t="s">
        <v>343</v>
      </c>
      <c r="I138" s="55" t="s">
        <v>344</v>
      </c>
      <c r="J138" s="58">
        <v>680</v>
      </c>
      <c r="K138" s="54" t="s">
        <v>299</v>
      </c>
      <c r="L138" s="57">
        <v>631</v>
      </c>
      <c r="M138" s="54">
        <v>2007</v>
      </c>
      <c r="N138" s="54" t="s">
        <v>28</v>
      </c>
      <c r="O138" s="55" t="s">
        <v>345</v>
      </c>
      <c r="P138" s="58">
        <f>VLOOKUP(M138,'CEPCI Index'!$A$2:$C$23,3,FALSE)</f>
        <v>1.1562618956985156</v>
      </c>
      <c r="Q138" s="59">
        <f t="shared" si="4"/>
        <v>729.6012561857633</v>
      </c>
      <c r="R138" s="54" t="s">
        <v>537</v>
      </c>
    </row>
    <row r="139" spans="1:18" ht="63" x14ac:dyDescent="0.25">
      <c r="A139" s="54" t="s">
        <v>312</v>
      </c>
      <c r="B139" s="64" t="s">
        <v>313</v>
      </c>
      <c r="C139" s="55" t="s">
        <v>347</v>
      </c>
      <c r="D139" s="54">
        <v>325998</v>
      </c>
      <c r="E139" s="55" t="s">
        <v>348</v>
      </c>
      <c r="F139" s="56" t="s">
        <v>349</v>
      </c>
      <c r="G139" s="55" t="s">
        <v>350</v>
      </c>
      <c r="H139" s="55" t="s">
        <v>351</v>
      </c>
      <c r="I139" s="55" t="s">
        <v>352</v>
      </c>
      <c r="J139" s="58">
        <v>290</v>
      </c>
      <c r="K139" s="54" t="s">
        <v>299</v>
      </c>
      <c r="L139" s="57">
        <v>1065.54</v>
      </c>
      <c r="M139" s="54">
        <v>2006</v>
      </c>
      <c r="N139" s="54" t="s">
        <v>28</v>
      </c>
      <c r="O139" s="55" t="s">
        <v>44</v>
      </c>
      <c r="P139" s="58">
        <f>VLOOKUP(M139,'CEPCI Index'!$A$2:$C$23,3,FALSE)</f>
        <v>1.215972778222578</v>
      </c>
      <c r="Q139" s="59">
        <f t="shared" si="4"/>
        <v>1295.6676341072857</v>
      </c>
      <c r="R139" s="54" t="s">
        <v>537</v>
      </c>
    </row>
    <row r="140" spans="1:18" ht="63" x14ac:dyDescent="0.25">
      <c r="A140" s="54" t="s">
        <v>312</v>
      </c>
      <c r="B140" s="60" t="s">
        <v>313</v>
      </c>
      <c r="C140" s="55" t="s">
        <v>347</v>
      </c>
      <c r="D140" s="54">
        <v>325998</v>
      </c>
      <c r="E140" s="55" t="s">
        <v>348</v>
      </c>
      <c r="F140" s="56" t="s">
        <v>353</v>
      </c>
      <c r="G140" s="55" t="s">
        <v>354</v>
      </c>
      <c r="H140" s="55" t="s">
        <v>351</v>
      </c>
      <c r="I140" s="55" t="s">
        <v>352</v>
      </c>
      <c r="J140" s="58">
        <v>320</v>
      </c>
      <c r="K140" s="54" t="s">
        <v>299</v>
      </c>
      <c r="L140" s="57">
        <v>1065.54</v>
      </c>
      <c r="M140" s="54">
        <v>2006</v>
      </c>
      <c r="N140" s="54" t="s">
        <v>28</v>
      </c>
      <c r="O140" s="55" t="s">
        <v>44</v>
      </c>
      <c r="P140" s="58">
        <f>VLOOKUP(M140,'CEPCI Index'!$A$2:$C$23,3,FALSE)</f>
        <v>1.215972778222578</v>
      </c>
      <c r="Q140" s="59">
        <f t="shared" si="4"/>
        <v>1295.6676341072857</v>
      </c>
      <c r="R140" s="54" t="s">
        <v>537</v>
      </c>
    </row>
    <row r="141" spans="1:18" ht="63" x14ac:dyDescent="0.25">
      <c r="A141" s="54" t="s">
        <v>312</v>
      </c>
      <c r="B141" s="60" t="s">
        <v>313</v>
      </c>
      <c r="C141" s="55" t="s">
        <v>347</v>
      </c>
      <c r="D141" s="54">
        <v>325998</v>
      </c>
      <c r="E141" s="55" t="s">
        <v>348</v>
      </c>
      <c r="F141" s="56" t="s">
        <v>316</v>
      </c>
      <c r="G141" s="55" t="s">
        <v>355</v>
      </c>
      <c r="H141" s="55" t="s">
        <v>356</v>
      </c>
      <c r="I141" s="55" t="s">
        <v>352</v>
      </c>
      <c r="J141" s="58">
        <v>536</v>
      </c>
      <c r="K141" s="54" t="s">
        <v>299</v>
      </c>
      <c r="L141" s="57">
        <v>931.35</v>
      </c>
      <c r="M141" s="54">
        <v>2006</v>
      </c>
      <c r="N141" s="54" t="s">
        <v>28</v>
      </c>
      <c r="O141" s="55" t="s">
        <v>44</v>
      </c>
      <c r="P141" s="58">
        <f>VLOOKUP(M141,'CEPCI Index'!$A$2:$C$23,3,FALSE)</f>
        <v>1.215972778222578</v>
      </c>
      <c r="Q141" s="59">
        <f t="shared" si="4"/>
        <v>1132.4962469975981</v>
      </c>
      <c r="R141" s="54" t="s">
        <v>537</v>
      </c>
    </row>
    <row r="142" spans="1:18" ht="78.75" x14ac:dyDescent="0.25">
      <c r="A142" s="77" t="s">
        <v>505</v>
      </c>
      <c r="B142" s="78" t="s">
        <v>513</v>
      </c>
      <c r="C142" s="79" t="s">
        <v>506</v>
      </c>
      <c r="D142" s="80">
        <v>322121</v>
      </c>
      <c r="E142" s="77" t="s">
        <v>507</v>
      </c>
      <c r="F142" s="79" t="s">
        <v>509</v>
      </c>
      <c r="G142" s="81" t="s">
        <v>508</v>
      </c>
      <c r="H142" s="81" t="s">
        <v>510</v>
      </c>
      <c r="I142" s="81" t="s">
        <v>511</v>
      </c>
      <c r="J142" s="82">
        <v>600</v>
      </c>
      <c r="K142" s="80" t="s">
        <v>299</v>
      </c>
      <c r="L142" s="83">
        <v>800</v>
      </c>
      <c r="M142" s="84">
        <v>2011</v>
      </c>
      <c r="N142" s="79" t="s">
        <v>81</v>
      </c>
      <c r="O142" s="81" t="s">
        <v>512</v>
      </c>
      <c r="P142" s="85">
        <f>VLOOKUP(M142,'CEPCI Index'!$A$2:$C$23,3,FALSE)</f>
        <v>1.0372204200102442</v>
      </c>
      <c r="Q142" s="86">
        <f t="shared" si="4"/>
        <v>829.77633600819536</v>
      </c>
      <c r="R142" s="77" t="s">
        <v>537</v>
      </c>
    </row>
    <row r="143" spans="1:18" ht="47.25" x14ac:dyDescent="0.25">
      <c r="A143" s="77" t="s">
        <v>505</v>
      </c>
      <c r="B143" s="78" t="s">
        <v>513</v>
      </c>
      <c r="C143" s="78" t="s">
        <v>519</v>
      </c>
      <c r="D143" s="80">
        <v>322110</v>
      </c>
      <c r="E143" s="77" t="s">
        <v>507</v>
      </c>
      <c r="F143" s="79" t="s">
        <v>520</v>
      </c>
      <c r="G143" s="81" t="s">
        <v>523</v>
      </c>
      <c r="H143" s="81" t="s">
        <v>522</v>
      </c>
      <c r="I143" s="81" t="s">
        <v>502</v>
      </c>
      <c r="J143" s="82">
        <v>284</v>
      </c>
      <c r="K143" s="80" t="s">
        <v>299</v>
      </c>
      <c r="L143" s="83">
        <v>4297</v>
      </c>
      <c r="M143" s="84">
        <v>2008</v>
      </c>
      <c r="N143" s="79" t="s">
        <v>28</v>
      </c>
      <c r="O143" s="81" t="s">
        <v>528</v>
      </c>
      <c r="P143" s="85">
        <f>VLOOKUP(M143,'CEPCI Index'!$A$2:$C$23,3,FALSE)</f>
        <v>1.0557872784150157</v>
      </c>
      <c r="Q143" s="86">
        <f t="shared" si="4"/>
        <v>4536.7179353493229</v>
      </c>
      <c r="R143" s="77" t="s">
        <v>537</v>
      </c>
    </row>
    <row r="144" spans="1:18" ht="63" x14ac:dyDescent="0.25">
      <c r="A144" s="77" t="s">
        <v>505</v>
      </c>
      <c r="B144" s="78" t="s">
        <v>513</v>
      </c>
      <c r="C144" s="78" t="s">
        <v>519</v>
      </c>
      <c r="D144" s="80">
        <v>322110</v>
      </c>
      <c r="E144" s="77" t="s">
        <v>507</v>
      </c>
      <c r="F144" s="79" t="s">
        <v>521</v>
      </c>
      <c r="G144" s="81" t="s">
        <v>524</v>
      </c>
      <c r="H144" s="81" t="s">
        <v>525</v>
      </c>
      <c r="I144" s="81" t="s">
        <v>502</v>
      </c>
      <c r="J144" s="82">
        <v>339</v>
      </c>
      <c r="K144" s="80" t="s">
        <v>299</v>
      </c>
      <c r="L144" s="80" t="s">
        <v>526</v>
      </c>
      <c r="M144" s="84">
        <v>2008</v>
      </c>
      <c r="N144" s="79" t="s">
        <v>28</v>
      </c>
      <c r="O144" s="81" t="s">
        <v>527</v>
      </c>
      <c r="P144" s="85">
        <f>VLOOKUP(M144,'CEPCI Index'!$A$2:$C$23,3,FALSE)</f>
        <v>1.0557872784150157</v>
      </c>
      <c r="Q144" s="86" t="s">
        <v>529</v>
      </c>
      <c r="R144" s="77" t="s">
        <v>537</v>
      </c>
    </row>
    <row r="145" spans="1:18" ht="63" x14ac:dyDescent="0.25">
      <c r="A145" s="67" t="s">
        <v>490</v>
      </c>
      <c r="B145" s="68"/>
      <c r="C145" s="68" t="s">
        <v>491</v>
      </c>
      <c r="D145" s="67"/>
      <c r="E145" s="68"/>
      <c r="F145" s="67"/>
      <c r="G145" s="68"/>
      <c r="H145" s="68" t="s">
        <v>476</v>
      </c>
      <c r="I145" s="68"/>
      <c r="J145" s="69"/>
      <c r="K145" s="67"/>
      <c r="L145" s="70">
        <v>1765</v>
      </c>
      <c r="M145" s="67">
        <v>2007</v>
      </c>
      <c r="N145" s="67" t="s">
        <v>28</v>
      </c>
      <c r="O145" s="68" t="s">
        <v>44</v>
      </c>
      <c r="P145" s="69">
        <f>VLOOKUP(M145,'CEPCI Index'!$A$2:$C$23,3,FALSE)</f>
        <v>1.1562618956985156</v>
      </c>
      <c r="Q145" s="71">
        <f t="shared" ref="Q145:Q162" si="5">L145*P145</f>
        <v>2040.80224590788</v>
      </c>
      <c r="R145" s="67" t="s">
        <v>537</v>
      </c>
    </row>
    <row r="146" spans="1:18" ht="47.25" x14ac:dyDescent="0.25">
      <c r="A146" s="54" t="s">
        <v>357</v>
      </c>
      <c r="B146" s="60" t="s">
        <v>358</v>
      </c>
      <c r="C146" s="55" t="s">
        <v>359</v>
      </c>
      <c r="D146" s="54">
        <v>322110</v>
      </c>
      <c r="E146" s="55" t="s">
        <v>315</v>
      </c>
      <c r="F146" s="54" t="s">
        <v>360</v>
      </c>
      <c r="G146" s="55" t="s">
        <v>361</v>
      </c>
      <c r="H146" s="55" t="s">
        <v>362</v>
      </c>
      <c r="I146" s="55" t="s">
        <v>363</v>
      </c>
      <c r="J146" s="66">
        <v>186.9</v>
      </c>
      <c r="K146" s="54" t="s">
        <v>299</v>
      </c>
      <c r="L146" s="57">
        <v>1768</v>
      </c>
      <c r="M146" s="54">
        <v>2011</v>
      </c>
      <c r="N146" s="54" t="s">
        <v>28</v>
      </c>
      <c r="O146" s="55" t="s">
        <v>364</v>
      </c>
      <c r="P146" s="58">
        <f>VLOOKUP(M146,'CEPCI Index'!$A$2:$C$23,3,FALSE)</f>
        <v>1.0372204200102442</v>
      </c>
      <c r="Q146" s="59">
        <f t="shared" si="5"/>
        <v>1833.8057025781118</v>
      </c>
      <c r="R146" s="54" t="s">
        <v>365</v>
      </c>
    </row>
    <row r="147" spans="1:18" ht="47.25" x14ac:dyDescent="0.25">
      <c r="A147" s="54" t="s">
        <v>357</v>
      </c>
      <c r="B147" s="60" t="s">
        <v>358</v>
      </c>
      <c r="C147" s="55" t="s">
        <v>359</v>
      </c>
      <c r="D147" s="54">
        <v>322110</v>
      </c>
      <c r="E147" s="55" t="s">
        <v>315</v>
      </c>
      <c r="F147" s="54" t="s">
        <v>360</v>
      </c>
      <c r="G147" s="55" t="s">
        <v>366</v>
      </c>
      <c r="H147" s="55" t="s">
        <v>367</v>
      </c>
      <c r="I147" s="55" t="s">
        <v>363</v>
      </c>
      <c r="J147" s="66">
        <v>186.9</v>
      </c>
      <c r="K147" s="54" t="s">
        <v>299</v>
      </c>
      <c r="L147" s="57">
        <v>1413</v>
      </c>
      <c r="M147" s="54">
        <v>2011</v>
      </c>
      <c r="N147" s="54" t="s">
        <v>28</v>
      </c>
      <c r="O147" s="55" t="s">
        <v>364</v>
      </c>
      <c r="P147" s="58">
        <f>VLOOKUP(M147,'CEPCI Index'!$A$2:$C$23,3,FALSE)</f>
        <v>1.0372204200102442</v>
      </c>
      <c r="Q147" s="59">
        <f t="shared" si="5"/>
        <v>1465.592453474475</v>
      </c>
      <c r="R147" s="54" t="s">
        <v>365</v>
      </c>
    </row>
    <row r="148" spans="1:18" ht="110.25" x14ac:dyDescent="0.25">
      <c r="A148" s="54" t="s">
        <v>302</v>
      </c>
      <c r="B148" s="60" t="s">
        <v>303</v>
      </c>
      <c r="C148" s="55" t="s">
        <v>368</v>
      </c>
      <c r="D148" s="54">
        <v>325180</v>
      </c>
      <c r="E148" s="55" t="s">
        <v>369</v>
      </c>
      <c r="F148" s="54" t="s">
        <v>370</v>
      </c>
      <c r="G148" s="55"/>
      <c r="H148" s="55" t="s">
        <v>371</v>
      </c>
      <c r="I148" s="55" t="s">
        <v>372</v>
      </c>
      <c r="J148" s="58"/>
      <c r="K148" s="54"/>
      <c r="L148" s="57">
        <v>466</v>
      </c>
      <c r="M148" s="54">
        <v>2010</v>
      </c>
      <c r="N148" s="54" t="s">
        <v>28</v>
      </c>
      <c r="O148" s="55"/>
      <c r="P148" s="58">
        <f>VLOOKUP(M148,'CEPCI Index'!$A$2:$C$23,3,FALSE)</f>
        <v>1.1029411764705883</v>
      </c>
      <c r="Q148" s="59">
        <f t="shared" si="5"/>
        <v>513.97058823529414</v>
      </c>
      <c r="R148" s="54" t="s">
        <v>373</v>
      </c>
    </row>
    <row r="149" spans="1:18" ht="63" x14ac:dyDescent="0.25">
      <c r="A149" s="54" t="s">
        <v>38</v>
      </c>
      <c r="B149" s="55" t="s">
        <v>374</v>
      </c>
      <c r="C149" s="55" t="s">
        <v>375</v>
      </c>
      <c r="D149" s="54">
        <v>327310</v>
      </c>
      <c r="E149" s="55" t="s">
        <v>376</v>
      </c>
      <c r="F149" s="56" t="s">
        <v>377</v>
      </c>
      <c r="G149" s="55" t="s">
        <v>378</v>
      </c>
      <c r="H149" s="55" t="s">
        <v>25</v>
      </c>
      <c r="I149" s="55" t="s">
        <v>372</v>
      </c>
      <c r="J149" s="58"/>
      <c r="K149" s="54"/>
      <c r="L149" s="57">
        <v>1162</v>
      </c>
      <c r="M149" s="54">
        <v>2013</v>
      </c>
      <c r="N149" s="54" t="s">
        <v>81</v>
      </c>
      <c r="O149" s="55" t="s">
        <v>44</v>
      </c>
      <c r="P149" s="58">
        <f>VLOOKUP(M149,'CEPCI Index'!$A$2:$C$23,3,FALSE)</f>
        <v>1.0710507757404795</v>
      </c>
      <c r="Q149" s="59">
        <f t="shared" si="5"/>
        <v>1244.561001410437</v>
      </c>
      <c r="R149" s="54" t="s">
        <v>373</v>
      </c>
    </row>
    <row r="150" spans="1:18" ht="63" x14ac:dyDescent="0.25">
      <c r="A150" s="54" t="s">
        <v>38</v>
      </c>
      <c r="B150" s="55" t="s">
        <v>379</v>
      </c>
      <c r="C150" s="55" t="s">
        <v>380</v>
      </c>
      <c r="D150" s="54">
        <v>327310</v>
      </c>
      <c r="E150" s="55" t="s">
        <v>376</v>
      </c>
      <c r="F150" s="56" t="s">
        <v>381</v>
      </c>
      <c r="G150" s="55" t="s">
        <v>378</v>
      </c>
      <c r="H150" s="55" t="s">
        <v>25</v>
      </c>
      <c r="I150" s="55" t="s">
        <v>372</v>
      </c>
      <c r="J150" s="58"/>
      <c r="K150" s="54"/>
      <c r="L150" s="57">
        <v>1850</v>
      </c>
      <c r="M150" s="54">
        <v>2014</v>
      </c>
      <c r="N150" s="54" t="s">
        <v>81</v>
      </c>
      <c r="O150" s="55" t="s">
        <v>44</v>
      </c>
      <c r="P150" s="58">
        <f>VLOOKUP(M150,'CEPCI Index'!$A$2:$C$23,3,FALSE)</f>
        <v>1.054504426314876</v>
      </c>
      <c r="Q150" s="59">
        <f t="shared" si="5"/>
        <v>1950.8331886825206</v>
      </c>
      <c r="R150" s="54" t="s">
        <v>373</v>
      </c>
    </row>
    <row r="151" spans="1:18" ht="63" x14ac:dyDescent="0.25">
      <c r="A151" s="54" t="s">
        <v>54</v>
      </c>
      <c r="B151" s="64" t="s">
        <v>55</v>
      </c>
      <c r="C151" s="55" t="s">
        <v>382</v>
      </c>
      <c r="D151" s="54">
        <v>327310</v>
      </c>
      <c r="E151" s="55" t="s">
        <v>383</v>
      </c>
      <c r="F151" s="54" t="s">
        <v>384</v>
      </c>
      <c r="G151" s="55"/>
      <c r="H151" s="55" t="s">
        <v>25</v>
      </c>
      <c r="I151" s="55" t="s">
        <v>372</v>
      </c>
      <c r="J151" s="58"/>
      <c r="K151" s="54"/>
      <c r="L151" s="57">
        <v>1934</v>
      </c>
      <c r="M151" s="54">
        <v>2008</v>
      </c>
      <c r="N151" s="54" t="s">
        <v>28</v>
      </c>
      <c r="O151" s="55" t="s">
        <v>44</v>
      </c>
      <c r="P151" s="58">
        <f>VLOOKUP(M151,'CEPCI Index'!$A$2:$C$23,3,FALSE)</f>
        <v>1.0557872784150157</v>
      </c>
      <c r="Q151" s="59">
        <f t="shared" si="5"/>
        <v>2041.8925964546404</v>
      </c>
      <c r="R151" s="54" t="s">
        <v>373</v>
      </c>
    </row>
    <row r="152" spans="1:18" ht="94.5" x14ac:dyDescent="0.25">
      <c r="A152" s="54" t="s">
        <v>338</v>
      </c>
      <c r="B152" s="55" t="s">
        <v>339</v>
      </c>
      <c r="C152" s="55" t="s">
        <v>385</v>
      </c>
      <c r="D152" s="54">
        <v>327310</v>
      </c>
      <c r="E152" s="55" t="s">
        <v>383</v>
      </c>
      <c r="F152" s="54" t="s">
        <v>386</v>
      </c>
      <c r="G152" s="55" t="s">
        <v>387</v>
      </c>
      <c r="H152" s="55" t="s">
        <v>388</v>
      </c>
      <c r="I152" s="55" t="s">
        <v>372</v>
      </c>
      <c r="J152" s="58"/>
      <c r="K152" s="54"/>
      <c r="L152" s="57">
        <v>4101</v>
      </c>
      <c r="M152" s="54">
        <v>2009</v>
      </c>
      <c r="N152" s="54" t="s">
        <v>28</v>
      </c>
      <c r="O152" s="55" t="s">
        <v>389</v>
      </c>
      <c r="P152" s="58">
        <f>VLOOKUP(M152,'CEPCI Index'!$A$2:$C$23,3,FALSE)</f>
        <v>1.1640160950373635</v>
      </c>
      <c r="Q152" s="59">
        <f t="shared" si="5"/>
        <v>4773.6300057482276</v>
      </c>
      <c r="R152" s="54" t="s">
        <v>373</v>
      </c>
    </row>
    <row r="153" spans="1:18" ht="267.75" x14ac:dyDescent="0.25">
      <c r="A153" s="54" t="s">
        <v>390</v>
      </c>
      <c r="B153" s="60" t="s">
        <v>391</v>
      </c>
      <c r="C153" s="55" t="s">
        <v>392</v>
      </c>
      <c r="D153" s="54">
        <v>327310</v>
      </c>
      <c r="E153" s="55" t="s">
        <v>376</v>
      </c>
      <c r="F153" s="54"/>
      <c r="G153" s="55" t="s">
        <v>393</v>
      </c>
      <c r="H153" s="55" t="s">
        <v>25</v>
      </c>
      <c r="I153" s="55" t="s">
        <v>372</v>
      </c>
      <c r="J153" s="58"/>
      <c r="K153" s="54"/>
      <c r="L153" s="57">
        <v>980</v>
      </c>
      <c r="M153" s="54">
        <v>2012</v>
      </c>
      <c r="N153" s="54" t="s">
        <v>28</v>
      </c>
      <c r="O153" s="55" t="s">
        <v>394</v>
      </c>
      <c r="P153" s="58">
        <f>VLOOKUP(M153,'CEPCI Index'!$A$2:$C$23,3,FALSE)</f>
        <v>1.0391720834758809</v>
      </c>
      <c r="Q153" s="59">
        <f t="shared" si="5"/>
        <v>1018.3886418063632</v>
      </c>
      <c r="R153" s="54" t="s">
        <v>373</v>
      </c>
    </row>
    <row r="154" spans="1:18" ht="110.25" x14ac:dyDescent="0.25">
      <c r="A154" s="54" t="s">
        <v>395</v>
      </c>
      <c r="B154" s="60" t="s">
        <v>396</v>
      </c>
      <c r="C154" s="55" t="s">
        <v>397</v>
      </c>
      <c r="D154" s="54">
        <v>327310</v>
      </c>
      <c r="E154" s="55" t="s">
        <v>376</v>
      </c>
      <c r="F154" s="54" t="s">
        <v>398</v>
      </c>
      <c r="G154" s="55" t="s">
        <v>399</v>
      </c>
      <c r="H154" s="55" t="s">
        <v>400</v>
      </c>
      <c r="I154" s="55" t="s">
        <v>372</v>
      </c>
      <c r="J154" s="58"/>
      <c r="K154" s="54"/>
      <c r="L154" s="57">
        <v>2058</v>
      </c>
      <c r="M154" s="54">
        <v>2012</v>
      </c>
      <c r="N154" s="54" t="s">
        <v>28</v>
      </c>
      <c r="O154" s="55" t="s">
        <v>114</v>
      </c>
      <c r="P154" s="58">
        <f>VLOOKUP(M154,'CEPCI Index'!$A$2:$C$23,3,FALSE)</f>
        <v>1.0391720834758809</v>
      </c>
      <c r="Q154" s="59">
        <f t="shared" si="5"/>
        <v>2138.6161477933629</v>
      </c>
      <c r="R154" s="54" t="s">
        <v>373</v>
      </c>
    </row>
    <row r="155" spans="1:18" ht="110.25" x14ac:dyDescent="0.25">
      <c r="A155" s="54" t="s">
        <v>395</v>
      </c>
      <c r="B155" s="60" t="s">
        <v>396</v>
      </c>
      <c r="C155" s="55" t="s">
        <v>401</v>
      </c>
      <c r="D155" s="54">
        <v>327310</v>
      </c>
      <c r="E155" s="55" t="s">
        <v>376</v>
      </c>
      <c r="F155" s="54" t="s">
        <v>398</v>
      </c>
      <c r="G155" s="55" t="s">
        <v>402</v>
      </c>
      <c r="H155" s="55" t="s">
        <v>400</v>
      </c>
      <c r="I155" s="55" t="s">
        <v>372</v>
      </c>
      <c r="J155" s="58"/>
      <c r="K155" s="54"/>
      <c r="L155" s="57">
        <v>1528</v>
      </c>
      <c r="M155" s="54">
        <v>2012</v>
      </c>
      <c r="N155" s="54" t="s">
        <v>28</v>
      </c>
      <c r="O155" s="55" t="s">
        <v>114</v>
      </c>
      <c r="P155" s="58">
        <f>VLOOKUP(M155,'CEPCI Index'!$A$2:$C$23,3,FALSE)</f>
        <v>1.0391720834758809</v>
      </c>
      <c r="Q155" s="59">
        <f t="shared" si="5"/>
        <v>1587.8549435511459</v>
      </c>
      <c r="R155" s="54" t="s">
        <v>373</v>
      </c>
    </row>
    <row r="156" spans="1:18" ht="63" x14ac:dyDescent="0.25">
      <c r="A156" s="54" t="s">
        <v>38</v>
      </c>
      <c r="B156" s="55" t="s">
        <v>403</v>
      </c>
      <c r="C156" s="55" t="s">
        <v>404</v>
      </c>
      <c r="D156" s="54">
        <v>327410</v>
      </c>
      <c r="E156" s="55" t="s">
        <v>405</v>
      </c>
      <c r="F156" s="56" t="s">
        <v>406</v>
      </c>
      <c r="G156" s="55"/>
      <c r="H156" s="55" t="s">
        <v>407</v>
      </c>
      <c r="I156" s="55" t="s">
        <v>372</v>
      </c>
      <c r="J156" s="58"/>
      <c r="K156" s="54"/>
      <c r="L156" s="57">
        <v>856</v>
      </c>
      <c r="M156" s="54">
        <v>2013</v>
      </c>
      <c r="N156" s="54" t="s">
        <v>28</v>
      </c>
      <c r="O156" s="55" t="s">
        <v>44</v>
      </c>
      <c r="P156" s="58">
        <f>VLOOKUP(M156,'CEPCI Index'!$A$2:$C$23,3,FALSE)</f>
        <v>1.0710507757404795</v>
      </c>
      <c r="Q156" s="59">
        <f t="shared" si="5"/>
        <v>916.81946403385041</v>
      </c>
      <c r="R156" s="54" t="s">
        <v>373</v>
      </c>
    </row>
    <row r="157" spans="1:18" ht="63" x14ac:dyDescent="0.25">
      <c r="A157" s="54" t="s">
        <v>38</v>
      </c>
      <c r="B157" s="55" t="s">
        <v>408</v>
      </c>
      <c r="C157" s="55" t="s">
        <v>404</v>
      </c>
      <c r="D157" s="54">
        <v>327410</v>
      </c>
      <c r="E157" s="55" t="s">
        <v>405</v>
      </c>
      <c r="F157" s="56" t="s">
        <v>409</v>
      </c>
      <c r="G157" s="55"/>
      <c r="H157" s="55" t="s">
        <v>407</v>
      </c>
      <c r="I157" s="55" t="s">
        <v>372</v>
      </c>
      <c r="J157" s="58"/>
      <c r="K157" s="54"/>
      <c r="L157" s="57">
        <v>817</v>
      </c>
      <c r="M157" s="54">
        <v>2013</v>
      </c>
      <c r="N157" s="54" t="s">
        <v>28</v>
      </c>
      <c r="O157" s="55" t="s">
        <v>44</v>
      </c>
      <c r="P157" s="58">
        <f>VLOOKUP(M157,'CEPCI Index'!$A$2:$C$23,3,FALSE)</f>
        <v>1.0710507757404795</v>
      </c>
      <c r="Q157" s="59">
        <f t="shared" si="5"/>
        <v>875.04848377997178</v>
      </c>
      <c r="R157" s="54" t="s">
        <v>373</v>
      </c>
    </row>
    <row r="158" spans="1:18" ht="63" x14ac:dyDescent="0.25">
      <c r="A158" s="54" t="s">
        <v>38</v>
      </c>
      <c r="B158" s="55" t="s">
        <v>410</v>
      </c>
      <c r="C158" s="55" t="s">
        <v>404</v>
      </c>
      <c r="D158" s="54">
        <v>327410</v>
      </c>
      <c r="E158" s="55" t="s">
        <v>405</v>
      </c>
      <c r="F158" s="56" t="s">
        <v>406</v>
      </c>
      <c r="G158" s="55"/>
      <c r="H158" s="55" t="s">
        <v>407</v>
      </c>
      <c r="I158" s="55" t="s">
        <v>372</v>
      </c>
      <c r="J158" s="58"/>
      <c r="K158" s="54"/>
      <c r="L158" s="57">
        <v>819</v>
      </c>
      <c r="M158" s="54">
        <v>2013</v>
      </c>
      <c r="N158" s="54" t="s">
        <v>28</v>
      </c>
      <c r="O158" s="55" t="s">
        <v>44</v>
      </c>
      <c r="P158" s="58">
        <f>VLOOKUP(M158,'CEPCI Index'!$A$2:$C$23,3,FALSE)</f>
        <v>1.0710507757404795</v>
      </c>
      <c r="Q158" s="59">
        <f t="shared" si="5"/>
        <v>877.19058533145267</v>
      </c>
      <c r="R158" s="54" t="s">
        <v>373</v>
      </c>
    </row>
    <row r="159" spans="1:18" ht="63.75" thickBot="1" x14ac:dyDescent="0.3">
      <c r="A159" s="54" t="s">
        <v>38</v>
      </c>
      <c r="B159" s="55" t="s">
        <v>411</v>
      </c>
      <c r="C159" s="55" t="s">
        <v>404</v>
      </c>
      <c r="D159" s="54">
        <v>327410</v>
      </c>
      <c r="E159" s="55" t="s">
        <v>405</v>
      </c>
      <c r="F159" s="56" t="s">
        <v>409</v>
      </c>
      <c r="G159" s="55"/>
      <c r="H159" s="55" t="s">
        <v>407</v>
      </c>
      <c r="I159" s="55" t="s">
        <v>372</v>
      </c>
      <c r="J159" s="58"/>
      <c r="K159" s="54"/>
      <c r="L159" s="57">
        <v>807</v>
      </c>
      <c r="M159" s="54">
        <v>2013</v>
      </c>
      <c r="N159" s="54" t="s">
        <v>28</v>
      </c>
      <c r="O159" s="55" t="s">
        <v>44</v>
      </c>
      <c r="P159" s="58">
        <f>VLOOKUP(M159,'CEPCI Index'!$A$2:$C$23,3,FALSE)</f>
        <v>1.0710507757404795</v>
      </c>
      <c r="Q159" s="59">
        <f t="shared" si="5"/>
        <v>864.33797602256698</v>
      </c>
      <c r="R159" s="54" t="s">
        <v>373</v>
      </c>
    </row>
    <row r="160" spans="1:18" ht="47.25" x14ac:dyDescent="0.25">
      <c r="A160" s="106" t="s">
        <v>505</v>
      </c>
      <c r="B160" s="107" t="s">
        <v>513</v>
      </c>
      <c r="C160" s="108" t="s">
        <v>514</v>
      </c>
      <c r="D160" s="109">
        <v>327410</v>
      </c>
      <c r="E160" s="106" t="s">
        <v>518</v>
      </c>
      <c r="F160" s="108" t="s">
        <v>515</v>
      </c>
      <c r="G160" s="110" t="s">
        <v>516</v>
      </c>
      <c r="H160" s="110" t="s">
        <v>222</v>
      </c>
      <c r="I160" s="110" t="s">
        <v>372</v>
      </c>
      <c r="J160" s="111">
        <v>25</v>
      </c>
      <c r="K160" s="109" t="s">
        <v>517</v>
      </c>
      <c r="L160" s="112">
        <v>4007</v>
      </c>
      <c r="M160" s="113">
        <v>2009</v>
      </c>
      <c r="N160" s="108" t="s">
        <v>28</v>
      </c>
      <c r="O160" s="110"/>
      <c r="P160" s="85">
        <f>VLOOKUP(M160,'CEPCI Index'!$A$2:$C$23,3,FALSE)</f>
        <v>1.1640160950373635</v>
      </c>
      <c r="Q160" s="114">
        <f t="shared" si="5"/>
        <v>4664.212492814715</v>
      </c>
      <c r="R160" s="106" t="s">
        <v>372</v>
      </c>
    </row>
    <row r="161" spans="1:18" ht="63" x14ac:dyDescent="0.25">
      <c r="A161" s="90" t="s">
        <v>38</v>
      </c>
      <c r="B161" s="92" t="s">
        <v>379</v>
      </c>
      <c r="C161" s="92" t="s">
        <v>412</v>
      </c>
      <c r="D161" s="90">
        <v>331410</v>
      </c>
      <c r="E161" s="92" t="s">
        <v>413</v>
      </c>
      <c r="F161" s="95"/>
      <c r="G161" s="92" t="s">
        <v>414</v>
      </c>
      <c r="H161" s="92" t="s">
        <v>415</v>
      </c>
      <c r="I161" s="92" t="s">
        <v>416</v>
      </c>
      <c r="J161" s="98"/>
      <c r="K161" s="90"/>
      <c r="L161" s="100">
        <v>865</v>
      </c>
      <c r="M161" s="90">
        <v>2014</v>
      </c>
      <c r="N161" s="90" t="s">
        <v>28</v>
      </c>
      <c r="O161" s="92" t="s">
        <v>44</v>
      </c>
      <c r="P161" s="58">
        <f>VLOOKUP(M161,'CEPCI Index'!$A$2:$C$23,3,FALSE)</f>
        <v>1.054504426314876</v>
      </c>
      <c r="Q161" s="105">
        <f t="shared" si="5"/>
        <v>912.14632876236772</v>
      </c>
      <c r="R161" s="90" t="s">
        <v>417</v>
      </c>
    </row>
    <row r="162" spans="1:18" ht="63" x14ac:dyDescent="0.25">
      <c r="A162" s="90" t="s">
        <v>38</v>
      </c>
      <c r="B162" s="92" t="s">
        <v>374</v>
      </c>
      <c r="C162" s="92" t="s">
        <v>418</v>
      </c>
      <c r="D162" s="90">
        <v>331410</v>
      </c>
      <c r="E162" s="92" t="s">
        <v>413</v>
      </c>
      <c r="F162" s="95"/>
      <c r="G162" s="92" t="s">
        <v>414</v>
      </c>
      <c r="H162" s="92" t="s">
        <v>419</v>
      </c>
      <c r="I162" s="92" t="s">
        <v>414</v>
      </c>
      <c r="J162" s="98"/>
      <c r="K162" s="90"/>
      <c r="L162" s="100">
        <v>990</v>
      </c>
      <c r="M162" s="90">
        <v>2014</v>
      </c>
      <c r="N162" s="90" t="s">
        <v>28</v>
      </c>
      <c r="O162" s="92" t="s">
        <v>44</v>
      </c>
      <c r="P162" s="58">
        <f>VLOOKUP(M162,'CEPCI Index'!$A$2:$C$23,3,FALSE)</f>
        <v>1.054504426314876</v>
      </c>
      <c r="Q162" s="105">
        <f t="shared" si="5"/>
        <v>1043.9593820517273</v>
      </c>
      <c r="R162" s="90" t="s">
        <v>417</v>
      </c>
    </row>
    <row r="163" spans="1:18" x14ac:dyDescent="0.25">
      <c r="G163" s="50"/>
      <c r="H163" s="50"/>
      <c r="I163" s="50"/>
      <c r="O163" s="50"/>
    </row>
    <row r="164" spans="1:18" x14ac:dyDescent="0.25">
      <c r="G164" s="50"/>
      <c r="H164" s="50"/>
      <c r="I164" s="50"/>
      <c r="O164" s="50"/>
    </row>
    <row r="165" spans="1:18" x14ac:dyDescent="0.25">
      <c r="G165" s="50"/>
      <c r="H165" s="50"/>
      <c r="I165" s="50"/>
      <c r="O165" s="50"/>
    </row>
    <row r="166" spans="1:18" x14ac:dyDescent="0.25">
      <c r="G166" s="50"/>
      <c r="H166" s="50"/>
      <c r="I166" s="50"/>
      <c r="O166" s="50"/>
    </row>
    <row r="167" spans="1:18" x14ac:dyDescent="0.25">
      <c r="G167" s="50"/>
      <c r="H167" s="50"/>
      <c r="I167" s="50"/>
      <c r="O167" s="50"/>
    </row>
    <row r="168" spans="1:18" x14ac:dyDescent="0.25">
      <c r="G168" s="50"/>
      <c r="H168" s="50"/>
      <c r="I168" s="50"/>
      <c r="O168" s="50"/>
    </row>
    <row r="169" spans="1:18" x14ac:dyDescent="0.25">
      <c r="G169" s="50"/>
      <c r="H169" s="50"/>
      <c r="I169" s="50"/>
      <c r="O169" s="50"/>
    </row>
    <row r="170" spans="1:18" x14ac:dyDescent="0.25">
      <c r="G170" s="50"/>
      <c r="H170" s="50"/>
      <c r="I170" s="50"/>
      <c r="O170" s="50"/>
    </row>
    <row r="171" spans="1:18" x14ac:dyDescent="0.25">
      <c r="G171" s="50"/>
      <c r="H171" s="50"/>
      <c r="I171" s="50"/>
      <c r="O171" s="50"/>
    </row>
    <row r="172" spans="1:18" x14ac:dyDescent="0.25">
      <c r="G172" s="50"/>
      <c r="H172" s="50"/>
      <c r="I172" s="50"/>
      <c r="O172" s="50"/>
    </row>
    <row r="173" spans="1:18" x14ac:dyDescent="0.25">
      <c r="G173" s="50"/>
      <c r="H173" s="50"/>
      <c r="I173" s="50"/>
      <c r="O173" s="50"/>
    </row>
    <row r="174" spans="1:18" x14ac:dyDescent="0.25">
      <c r="G174" s="50"/>
      <c r="H174" s="50"/>
      <c r="I174" s="50"/>
      <c r="O174" s="50"/>
    </row>
    <row r="175" spans="1:18" x14ac:dyDescent="0.25">
      <c r="G175" s="50"/>
      <c r="H175" s="50"/>
      <c r="I175" s="50"/>
      <c r="O175" s="50"/>
    </row>
    <row r="176" spans="1:18" x14ac:dyDescent="0.25">
      <c r="G176" s="50"/>
      <c r="H176" s="50"/>
      <c r="I176" s="50"/>
      <c r="O176" s="50"/>
    </row>
    <row r="177" spans="7:15" x14ac:dyDescent="0.25">
      <c r="G177" s="50"/>
      <c r="H177" s="50"/>
      <c r="I177" s="50"/>
      <c r="O177" s="50"/>
    </row>
    <row r="178" spans="7:15" x14ac:dyDescent="0.25">
      <c r="G178" s="50"/>
      <c r="H178" s="50"/>
      <c r="I178" s="50"/>
      <c r="O178" s="50"/>
    </row>
    <row r="179" spans="7:15" x14ac:dyDescent="0.25">
      <c r="G179" s="50"/>
      <c r="H179" s="50"/>
      <c r="I179" s="50"/>
      <c r="O179" s="50"/>
    </row>
    <row r="180" spans="7:15" x14ac:dyDescent="0.25">
      <c r="G180" s="50"/>
      <c r="H180" s="50"/>
      <c r="I180" s="50"/>
      <c r="O180" s="50"/>
    </row>
    <row r="181" spans="7:15" x14ac:dyDescent="0.25">
      <c r="G181" s="50"/>
      <c r="H181" s="50"/>
      <c r="I181" s="50"/>
      <c r="O181" s="50"/>
    </row>
    <row r="182" spans="7:15" x14ac:dyDescent="0.25">
      <c r="G182" s="50"/>
      <c r="H182" s="50"/>
      <c r="I182" s="50"/>
      <c r="O182" s="50"/>
    </row>
    <row r="183" spans="7:15" x14ac:dyDescent="0.25">
      <c r="G183" s="50"/>
      <c r="H183" s="50"/>
      <c r="I183" s="50"/>
      <c r="O183" s="50"/>
    </row>
    <row r="184" spans="7:15" x14ac:dyDescent="0.25">
      <c r="G184" s="50"/>
      <c r="H184" s="50"/>
      <c r="I184" s="50"/>
      <c r="O184" s="50"/>
    </row>
    <row r="185" spans="7:15" x14ac:dyDescent="0.25">
      <c r="G185" s="50"/>
      <c r="H185" s="50"/>
      <c r="I185" s="50"/>
      <c r="O185" s="50"/>
    </row>
    <row r="186" spans="7:15" x14ac:dyDescent="0.25">
      <c r="G186" s="50"/>
      <c r="H186" s="50"/>
      <c r="I186" s="50"/>
      <c r="O186" s="50"/>
    </row>
    <row r="187" spans="7:15" x14ac:dyDescent="0.25">
      <c r="G187" s="50"/>
      <c r="H187" s="50"/>
      <c r="I187" s="50"/>
      <c r="O187" s="50"/>
    </row>
    <row r="188" spans="7:15" x14ac:dyDescent="0.25">
      <c r="G188" s="50"/>
      <c r="H188" s="50"/>
      <c r="I188" s="50"/>
      <c r="O188" s="50"/>
    </row>
    <row r="189" spans="7:15" x14ac:dyDescent="0.25">
      <c r="G189" s="50"/>
      <c r="H189" s="50"/>
      <c r="I189" s="50"/>
      <c r="O189" s="50"/>
    </row>
    <row r="190" spans="7:15" x14ac:dyDescent="0.25">
      <c r="G190" s="50"/>
      <c r="H190" s="50"/>
      <c r="I190" s="50"/>
      <c r="O190" s="50"/>
    </row>
    <row r="191" spans="7:15" x14ac:dyDescent="0.25">
      <c r="G191" s="50"/>
      <c r="H191" s="50"/>
      <c r="I191" s="50"/>
      <c r="O191" s="50"/>
    </row>
    <row r="192" spans="7:15" x14ac:dyDescent="0.25">
      <c r="G192" s="50"/>
      <c r="H192" s="50"/>
      <c r="I192" s="50"/>
      <c r="O192" s="50"/>
    </row>
    <row r="193" spans="7:15" x14ac:dyDescent="0.25">
      <c r="G193" s="50"/>
      <c r="H193" s="50"/>
      <c r="I193" s="50"/>
      <c r="O193" s="50"/>
    </row>
  </sheetData>
  <autoFilter ref="A2:R162" xr:uid="{00000000-0009-0000-0000-000003000000}">
    <sortState xmlns:xlrd2="http://schemas.microsoft.com/office/spreadsheetml/2017/richdata2" ref="A3:R162">
      <sortCondition ref="R2:R162"/>
    </sortState>
  </autoFilter>
  <hyperlinks>
    <hyperlink ref="B44" r:id="rId1" xr:uid="{00000000-0004-0000-0300-000000000000}"/>
    <hyperlink ref="B139" r:id="rId2" xr:uid="{00000000-0004-0000-0300-000001000000}"/>
    <hyperlink ref="B28:B30" r:id="rId3" display="https://www.regulations.gov/document?D=EPA-R04-OAR-2009-0782-0016" xr:uid="{00000000-0004-0000-0300-000002000000}"/>
    <hyperlink ref="B140" r:id="rId4" xr:uid="{00000000-0004-0000-0300-000003000000}"/>
    <hyperlink ref="B141" r:id="rId5" xr:uid="{00000000-0004-0000-0300-000004000000}"/>
    <hyperlink ref="B132" r:id="rId6" xr:uid="{00000000-0004-0000-0300-000005000000}"/>
    <hyperlink ref="B10" r:id="rId7" xr:uid="{00000000-0004-0000-0300-000006000000}"/>
    <hyperlink ref="B47:B53" r:id="rId8" display="https://beta.regulations.gov/docket/EPA-R08-OAR-2011-0770/document" xr:uid="{00000000-0004-0000-0300-000007000000}"/>
    <hyperlink ref="B125" r:id="rId9" xr:uid="{00000000-0004-0000-0300-000008000000}"/>
    <hyperlink ref="B106:B111" r:id="rId10" display="https://www.govinfo.gov/content/pkg/FR-2014-01-30/pdf/2014-00930.pdf" xr:uid="{00000000-0004-0000-0300-000009000000}"/>
    <hyperlink ref="B146" r:id="rId11" xr:uid="{00000000-0004-0000-0300-00000A000000}"/>
    <hyperlink ref="B121" r:id="rId12" xr:uid="{00000000-0004-0000-0300-00000B000000}"/>
    <hyperlink ref="B122" r:id="rId13" xr:uid="{00000000-0004-0000-0300-00000C000000}"/>
    <hyperlink ref="B123" r:id="rId14" xr:uid="{00000000-0004-0000-0300-00000D000000}"/>
    <hyperlink ref="B124" r:id="rId15" xr:uid="{00000000-0004-0000-0300-00000E000000}"/>
    <hyperlink ref="B65" r:id="rId16" xr:uid="{00000000-0004-0000-0300-00000F000000}"/>
    <hyperlink ref="B93:B98" r:id="rId17" display="https://www.federalregister.gov/documents/2016/01/05/2015-31904/approval-and-promulgation-of-implementation-plans-texas-and-oklahoma-regional-haze-state" xr:uid="{00000000-0004-0000-0300-000010000000}"/>
    <hyperlink ref="B46" r:id="rId18" xr:uid="{00000000-0004-0000-0300-000011000000}"/>
    <hyperlink ref="B110" r:id="rId19" xr:uid="{00000000-0004-0000-0300-000012000000}"/>
    <hyperlink ref="B111" r:id="rId20" xr:uid="{00000000-0004-0000-0300-000013000000}"/>
    <hyperlink ref="B112" r:id="rId21" xr:uid="{00000000-0004-0000-0300-000014000000}"/>
    <hyperlink ref="B77:B78" r:id="rId22" display="https://www.federalregister.gov/documents/2012/08/28/2012-21056/approval-and-promulgation-of-air-quality-implementation-plans-state-of-new-york-regional-haze-state" xr:uid="{00000000-0004-0000-0300-000015000000}"/>
    <hyperlink ref="B28" r:id="rId23" xr:uid="{00000000-0004-0000-0300-000016000000}"/>
    <hyperlink ref="B29" r:id="rId24" xr:uid="{00000000-0004-0000-0300-000017000000}"/>
    <hyperlink ref="B30" r:id="rId25" xr:uid="{00000000-0004-0000-0300-000018000000}"/>
    <hyperlink ref="B53" r:id="rId26" xr:uid="{00000000-0004-0000-0300-000019000000}"/>
    <hyperlink ref="B50" r:id="rId27" xr:uid="{00000000-0004-0000-0300-00001A000000}"/>
    <hyperlink ref="B51" r:id="rId28" xr:uid="{00000000-0004-0000-0300-00001B000000}"/>
    <hyperlink ref="B154" r:id="rId29" xr:uid="{00000000-0004-0000-0300-00001C000000}"/>
    <hyperlink ref="B155" r:id="rId30" xr:uid="{00000000-0004-0000-0300-00001D000000}"/>
    <hyperlink ref="B128" r:id="rId31" xr:uid="{00000000-0004-0000-0300-00001E000000}"/>
    <hyperlink ref="B129" r:id="rId32" xr:uid="{00000000-0004-0000-0300-00001F000000}"/>
    <hyperlink ref="B153" r:id="rId33" xr:uid="{00000000-0004-0000-0300-000020000000}"/>
    <hyperlink ref="B130" r:id="rId34" xr:uid="{00000000-0004-0000-0300-000021000000}"/>
    <hyperlink ref="B131" r:id="rId35" xr:uid="{00000000-0004-0000-0300-000022000000}"/>
    <hyperlink ref="B148" r:id="rId36" xr:uid="{00000000-0004-0000-0300-000023000000}"/>
    <hyperlink ref="B107" r:id="rId37" xr:uid="{00000000-0004-0000-0300-000024000000}"/>
    <hyperlink ref="B47" r:id="rId38" xr:uid="{00000000-0004-0000-0300-000025000000}"/>
    <hyperlink ref="B48" r:id="rId39" xr:uid="{00000000-0004-0000-0300-000026000000}"/>
    <hyperlink ref="B113" r:id="rId40" xr:uid="{00000000-0004-0000-0300-000027000000}"/>
    <hyperlink ref="B134:B135" r:id="rId41" display="https://www.federalregister.gov/documents/2011/12/28/2011-32572/approval-and-promulgation-of-implementation-plans-oklahoma-federal-implementation-plan-for" xr:uid="{00000000-0004-0000-0300-000028000000}"/>
    <hyperlink ref="B60" r:id="rId42" xr:uid="{00000000-0004-0000-0300-000029000000}"/>
    <hyperlink ref="B58" r:id="rId43" xr:uid="{00000000-0004-0000-0300-00002A000000}"/>
    <hyperlink ref="B136:B139" r:id="rId44" display="https://www.federalregister.gov/documents/2011/12/28/2011-32572/approval-and-promulgation-of-implementation-plans-oklahoma-federal-implementation-plan-for" xr:uid="{00000000-0004-0000-0300-00002B000000}"/>
    <hyperlink ref="B64" r:id="rId45" xr:uid="{00000000-0004-0000-0300-00002C000000}"/>
    <hyperlink ref="B62" r:id="rId46" xr:uid="{00000000-0004-0000-0300-00002D000000}"/>
    <hyperlink ref="B140:B143" r:id="rId47" display="https://www.federalregister.gov/documents/2011/12/28/2011-32572/approval-and-promulgation-of-implementation-plans-oklahoma-federal-implementation-plan-for" xr:uid="{00000000-0004-0000-0300-00002E000000}"/>
    <hyperlink ref="B119" r:id="rId48" xr:uid="{00000000-0004-0000-0300-00002F000000}"/>
    <hyperlink ref="B117" r:id="rId49" xr:uid="{00000000-0004-0000-0300-000030000000}"/>
    <hyperlink ref="B120" r:id="rId50" xr:uid="{00000000-0004-0000-0300-000031000000}"/>
    <hyperlink ref="B79" r:id="rId51" xr:uid="{00000000-0004-0000-0300-000032000000}"/>
    <hyperlink ref="B80" r:id="rId52" xr:uid="{00000000-0004-0000-0300-000033000000}"/>
    <hyperlink ref="O94" r:id="rId53" location="h-25" display="h-25" xr:uid="{00000000-0004-0000-0300-000034000000}"/>
    <hyperlink ref="B94" r:id="rId54" xr:uid="{00000000-0004-0000-0300-000035000000}"/>
    <hyperlink ref="B95" r:id="rId55" xr:uid="{00000000-0004-0000-0300-000036000000}"/>
    <hyperlink ref="B3" r:id="rId56" xr:uid="{00000000-0004-0000-0300-000037000000}"/>
    <hyperlink ref="B49" r:id="rId57" xr:uid="{00000000-0004-0000-0300-000038000000}"/>
    <hyperlink ref="B147" r:id="rId58" display="https://www.federalregister.gov/documents/2011/12/28/2011-32572/approval-and-promulgation-of-implementation-plans-oklahoma-federal-implementation-plan-for" xr:uid="{00000000-0004-0000-0300-000039000000}"/>
    <hyperlink ref="O146" r:id="rId59" xr:uid="{00000000-0004-0000-0300-00003A000000}"/>
    <hyperlink ref="O147" r:id="rId60" xr:uid="{00000000-0004-0000-0300-00003B000000}"/>
    <hyperlink ref="B133" r:id="rId61" xr:uid="{00000000-0004-0000-0300-00003C000000}"/>
    <hyperlink ref="B137" r:id="rId62" xr:uid="{00000000-0004-0000-0300-00003D000000}"/>
    <hyperlink ref="B138" r:id="rId63" xr:uid="{00000000-0004-0000-0300-00003E000000}"/>
    <hyperlink ref="B151" r:id="rId64" xr:uid="{00000000-0004-0000-0300-00003F000000}"/>
    <hyperlink ref="B88" r:id="rId65" xr:uid="{00000000-0004-0000-0300-000040000000}"/>
    <hyperlink ref="B89" r:id="rId66" xr:uid="{00000000-0004-0000-0300-000041000000}"/>
    <hyperlink ref="B90" r:id="rId67" xr:uid="{00000000-0004-0000-0300-000042000000}"/>
  </hyperlinks>
  <pageMargins left="0.7" right="0.7" top="0.75" bottom="0.75" header="0.3" footer="0.3"/>
  <pageSetup orientation="portrait" r:id="rId6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3"/>
  <sheetViews>
    <sheetView workbookViewId="0">
      <selection activeCell="M29" sqref="M29"/>
    </sheetView>
  </sheetViews>
  <sheetFormatPr defaultRowHeight="15" x14ac:dyDescent="0.25"/>
  <cols>
    <col min="2" max="2" width="17.28515625" bestFit="1" customWidth="1"/>
    <col min="3" max="3" width="41" customWidth="1"/>
    <col min="5" max="5" width="37.28515625" bestFit="1" customWidth="1"/>
    <col min="6" max="6" width="37" customWidth="1"/>
    <col min="7" max="7" width="37.28515625" bestFit="1" customWidth="1"/>
    <col min="8" max="8" width="37" customWidth="1"/>
    <col min="9" max="9" width="37.28515625" bestFit="1" customWidth="1"/>
    <col min="10" max="10" width="37" customWidth="1"/>
    <col min="11" max="11" width="37.28515625" bestFit="1" customWidth="1"/>
    <col min="12" max="12" width="37" customWidth="1"/>
    <col min="13" max="13" width="37.28515625" customWidth="1"/>
    <col min="14" max="14" width="37" customWidth="1"/>
    <col min="15" max="15" width="37.28515625" bestFit="1" customWidth="1"/>
    <col min="16" max="16" width="37" customWidth="1"/>
    <col min="17" max="17" width="37.28515625" bestFit="1" customWidth="1"/>
    <col min="18" max="18" width="37" customWidth="1"/>
    <col min="19" max="19" width="52.28515625" bestFit="1" customWidth="1"/>
    <col min="20" max="20" width="37" customWidth="1"/>
    <col min="21" max="21" width="52.7109375" bestFit="1" customWidth="1"/>
    <col min="22" max="22" width="37" customWidth="1"/>
  </cols>
  <sheetData>
    <row r="1" spans="1:6" ht="18" x14ac:dyDescent="0.35">
      <c r="A1" t="s">
        <v>420</v>
      </c>
      <c r="B1" t="s">
        <v>421</v>
      </c>
      <c r="C1" t="s">
        <v>422</v>
      </c>
    </row>
    <row r="2" spans="1:6" x14ac:dyDescent="0.25">
      <c r="A2">
        <v>1998</v>
      </c>
      <c r="B2">
        <v>389.5</v>
      </c>
      <c r="C2">
        <f>$B$23/B2</f>
        <v>1.5596919127086009</v>
      </c>
    </row>
    <row r="3" spans="1:6" x14ac:dyDescent="0.25">
      <c r="A3">
        <v>1999</v>
      </c>
      <c r="B3">
        <v>390.6</v>
      </c>
      <c r="C3">
        <f t="shared" ref="C3:C23" si="0">$B$23/B3</f>
        <v>1.5552995391705069</v>
      </c>
      <c r="F3" s="10"/>
    </row>
    <row r="4" spans="1:6" x14ac:dyDescent="0.25">
      <c r="A4">
        <v>2000</v>
      </c>
      <c r="B4">
        <v>394.1</v>
      </c>
      <c r="C4">
        <f t="shared" si="0"/>
        <v>1.5414869322506977</v>
      </c>
    </row>
    <row r="5" spans="1:6" x14ac:dyDescent="0.25">
      <c r="A5">
        <v>2001</v>
      </c>
      <c r="B5">
        <v>394.3</v>
      </c>
      <c r="C5">
        <f t="shared" si="0"/>
        <v>1.5407050469185899</v>
      </c>
    </row>
    <row r="6" spans="1:6" x14ac:dyDescent="0.25">
      <c r="A6">
        <v>2002</v>
      </c>
      <c r="B6">
        <v>395.6</v>
      </c>
      <c r="C6">
        <f t="shared" si="0"/>
        <v>1.5356420626895853</v>
      </c>
    </row>
    <row r="7" spans="1:6" x14ac:dyDescent="0.25">
      <c r="A7">
        <v>2003</v>
      </c>
      <c r="B7">
        <v>402</v>
      </c>
      <c r="C7">
        <f t="shared" si="0"/>
        <v>1.5111940298507462</v>
      </c>
    </row>
    <row r="8" spans="1:6" x14ac:dyDescent="0.25">
      <c r="A8">
        <v>2004</v>
      </c>
      <c r="B8">
        <v>444.2</v>
      </c>
      <c r="C8">
        <f t="shared" si="0"/>
        <v>1.3676271949572265</v>
      </c>
      <c r="E8" s="11"/>
      <c r="F8" s="11"/>
    </row>
    <row r="9" spans="1:6" x14ac:dyDescent="0.25">
      <c r="A9">
        <v>2005</v>
      </c>
      <c r="B9">
        <v>468.2</v>
      </c>
      <c r="C9">
        <f t="shared" si="0"/>
        <v>1.2975224263135412</v>
      </c>
    </row>
    <row r="10" spans="1:6" x14ac:dyDescent="0.25">
      <c r="A10">
        <v>2006</v>
      </c>
      <c r="B10">
        <v>499.6</v>
      </c>
      <c r="C10">
        <f t="shared" si="0"/>
        <v>1.215972778222578</v>
      </c>
    </row>
    <row r="11" spans="1:6" x14ac:dyDescent="0.25">
      <c r="A11">
        <v>2007</v>
      </c>
      <c r="B11">
        <v>525.4</v>
      </c>
      <c r="C11">
        <f t="shared" si="0"/>
        <v>1.1562618956985156</v>
      </c>
    </row>
    <row r="12" spans="1:6" x14ac:dyDescent="0.25">
      <c r="A12">
        <v>2008</v>
      </c>
      <c r="B12">
        <v>575.4</v>
      </c>
      <c r="C12">
        <f t="shared" si="0"/>
        <v>1.0557872784150157</v>
      </c>
    </row>
    <row r="13" spans="1:6" x14ac:dyDescent="0.25">
      <c r="A13">
        <v>2009</v>
      </c>
      <c r="B13">
        <v>521.9</v>
      </c>
      <c r="C13">
        <f t="shared" si="0"/>
        <v>1.1640160950373635</v>
      </c>
    </row>
    <row r="14" spans="1:6" x14ac:dyDescent="0.25">
      <c r="A14">
        <v>2010</v>
      </c>
      <c r="B14">
        <v>550.79999999999995</v>
      </c>
      <c r="C14">
        <f t="shared" si="0"/>
        <v>1.1029411764705883</v>
      </c>
    </row>
    <row r="15" spans="1:6" x14ac:dyDescent="0.25">
      <c r="A15">
        <v>2011</v>
      </c>
      <c r="B15">
        <v>585.70000000000005</v>
      </c>
      <c r="C15">
        <f t="shared" si="0"/>
        <v>1.0372204200102442</v>
      </c>
    </row>
    <row r="16" spans="1:6" x14ac:dyDescent="0.25">
      <c r="A16">
        <v>2012</v>
      </c>
      <c r="B16">
        <v>584.6</v>
      </c>
      <c r="C16">
        <f t="shared" si="0"/>
        <v>1.0391720834758809</v>
      </c>
    </row>
    <row r="17" spans="1:3" x14ac:dyDescent="0.25">
      <c r="A17">
        <v>2013</v>
      </c>
      <c r="B17">
        <v>567.20000000000005</v>
      </c>
      <c r="C17">
        <f t="shared" si="0"/>
        <v>1.0710507757404795</v>
      </c>
    </row>
    <row r="18" spans="1:3" x14ac:dyDescent="0.25">
      <c r="A18">
        <v>2014</v>
      </c>
      <c r="B18">
        <v>576.1</v>
      </c>
      <c r="C18">
        <f t="shared" si="0"/>
        <v>1.054504426314876</v>
      </c>
    </row>
    <row r="19" spans="1:3" x14ac:dyDescent="0.25">
      <c r="A19">
        <v>2015</v>
      </c>
      <c r="B19">
        <v>556.79999999999995</v>
      </c>
      <c r="C19">
        <f t="shared" si="0"/>
        <v>1.0910560344827587</v>
      </c>
    </row>
    <row r="20" spans="1:3" x14ac:dyDescent="0.25">
      <c r="A20">
        <v>2016</v>
      </c>
      <c r="B20">
        <v>541.70000000000005</v>
      </c>
      <c r="C20">
        <f t="shared" si="0"/>
        <v>1.1214694480339671</v>
      </c>
    </row>
    <row r="21" spans="1:3" x14ac:dyDescent="0.25">
      <c r="A21">
        <v>2017</v>
      </c>
      <c r="B21">
        <v>567.5</v>
      </c>
      <c r="C21">
        <f t="shared" si="0"/>
        <v>1.0704845814977975</v>
      </c>
    </row>
    <row r="22" spans="1:3" x14ac:dyDescent="0.25">
      <c r="A22">
        <v>2018</v>
      </c>
      <c r="B22">
        <v>603.1</v>
      </c>
      <c r="C22">
        <f t="shared" si="0"/>
        <v>1.0072956391974797</v>
      </c>
    </row>
    <row r="23" spans="1:3" x14ac:dyDescent="0.25">
      <c r="A23">
        <v>2019</v>
      </c>
      <c r="B23">
        <v>607.5</v>
      </c>
      <c r="C23">
        <f t="shared" si="0"/>
        <v>1</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H7"/>
  <sheetViews>
    <sheetView topLeftCell="C1" workbookViewId="0">
      <selection activeCell="C7" sqref="C7"/>
    </sheetView>
  </sheetViews>
  <sheetFormatPr defaultRowHeight="15" x14ac:dyDescent="0.3"/>
  <cols>
    <col min="1" max="2" width="9.140625" style="26"/>
    <col min="3" max="3" width="46.42578125" style="26" bestFit="1" customWidth="1"/>
    <col min="4" max="6" width="12.7109375" style="26" customWidth="1"/>
    <col min="7" max="7" width="25.85546875" style="27" customWidth="1"/>
    <col min="8" max="8" width="9.140625" style="26"/>
    <col min="9" max="16384" width="9.140625" style="25"/>
  </cols>
  <sheetData>
    <row r="3" spans="1:8" s="33" customFormat="1" ht="45" x14ac:dyDescent="0.3">
      <c r="A3" s="36" t="s">
        <v>462</v>
      </c>
      <c r="B3" s="36" t="s">
        <v>461</v>
      </c>
      <c r="C3" s="36" t="s">
        <v>460</v>
      </c>
      <c r="D3" s="36" t="s">
        <v>459</v>
      </c>
      <c r="E3" s="36" t="s">
        <v>458</v>
      </c>
      <c r="F3" s="36"/>
      <c r="G3" s="37" t="s">
        <v>457</v>
      </c>
      <c r="H3" s="36" t="s">
        <v>456</v>
      </c>
    </row>
    <row r="4" spans="1:8" x14ac:dyDescent="0.3">
      <c r="A4" s="26" t="s">
        <v>450</v>
      </c>
      <c r="B4" s="26" t="s">
        <v>449</v>
      </c>
      <c r="C4" s="26" t="s">
        <v>455</v>
      </c>
      <c r="D4" s="35">
        <v>1202</v>
      </c>
      <c r="E4" s="34">
        <f>D7-D4</f>
        <v>5234</v>
      </c>
      <c r="F4" s="27">
        <v>39000000</v>
      </c>
      <c r="G4" s="27">
        <f>F4/E4</f>
        <v>7451.2800917080631</v>
      </c>
      <c r="H4" s="26" t="s">
        <v>453</v>
      </c>
    </row>
    <row r="5" spans="1:8" x14ac:dyDescent="0.3">
      <c r="A5" s="26" t="s">
        <v>450</v>
      </c>
      <c r="B5" s="26" t="s">
        <v>449</v>
      </c>
      <c r="C5" s="26" t="s">
        <v>454</v>
      </c>
      <c r="D5" s="35">
        <v>4830</v>
      </c>
      <c r="E5" s="34">
        <f>D6-D5</f>
        <v>687</v>
      </c>
      <c r="F5" s="27">
        <v>5600000</v>
      </c>
      <c r="G5" s="27">
        <v>8200</v>
      </c>
      <c r="H5" s="26" t="s">
        <v>453</v>
      </c>
    </row>
    <row r="6" spans="1:8" s="33" customFormat="1" x14ac:dyDescent="0.3">
      <c r="A6" s="26" t="s">
        <v>450</v>
      </c>
      <c r="B6" s="26" t="s">
        <v>449</v>
      </c>
      <c r="C6" s="26" t="s">
        <v>452</v>
      </c>
      <c r="D6" s="35">
        <v>5517</v>
      </c>
      <c r="E6" s="34">
        <f>D7-D6</f>
        <v>919</v>
      </c>
      <c r="F6" s="34"/>
      <c r="G6" s="27"/>
      <c r="H6" s="26" t="s">
        <v>451</v>
      </c>
    </row>
    <row r="7" spans="1:8" s="28" customFormat="1" x14ac:dyDescent="0.3">
      <c r="A7" s="26" t="s">
        <v>450</v>
      </c>
      <c r="B7" s="26" t="s">
        <v>449</v>
      </c>
      <c r="C7" s="29" t="s">
        <v>448</v>
      </c>
      <c r="D7" s="32">
        <v>6436</v>
      </c>
      <c r="E7" s="31"/>
      <c r="F7" s="31"/>
      <c r="G7" s="30"/>
      <c r="H7" s="2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H11"/>
  <sheetViews>
    <sheetView workbookViewId="0"/>
  </sheetViews>
  <sheetFormatPr defaultColWidth="8.85546875" defaultRowHeight="15" x14ac:dyDescent="0.3"/>
  <cols>
    <col min="1" max="1" width="22.5703125" style="38" customWidth="1"/>
    <col min="2" max="7" width="15.7109375" style="39" customWidth="1"/>
    <col min="8" max="8" width="8.85546875" style="39"/>
    <col min="9" max="16384" width="8.85546875" style="38"/>
  </cols>
  <sheetData>
    <row r="6" spans="1:8" ht="48" customHeight="1" x14ac:dyDescent="0.3">
      <c r="A6" s="48" t="s">
        <v>487</v>
      </c>
      <c r="B6" s="47" t="s">
        <v>486</v>
      </c>
      <c r="C6" s="47" t="s">
        <v>485</v>
      </c>
      <c r="D6" s="47" t="s">
        <v>484</v>
      </c>
      <c r="E6" s="47" t="s">
        <v>483</v>
      </c>
      <c r="F6" s="47" t="s">
        <v>482</v>
      </c>
      <c r="G6" s="47" t="s">
        <v>481</v>
      </c>
      <c r="H6" s="46" t="s">
        <v>456</v>
      </c>
    </row>
    <row r="7" spans="1:8" x14ac:dyDescent="0.3">
      <c r="A7" s="44" t="s">
        <v>480</v>
      </c>
      <c r="B7" s="40" t="s">
        <v>479</v>
      </c>
      <c r="C7" s="40" t="s">
        <v>478</v>
      </c>
      <c r="D7" s="43">
        <v>0.71</v>
      </c>
      <c r="E7" s="42">
        <v>10815</v>
      </c>
      <c r="F7" s="41">
        <v>1649</v>
      </c>
      <c r="G7" s="40" t="s">
        <v>477</v>
      </c>
      <c r="H7" s="39" t="s">
        <v>453</v>
      </c>
    </row>
    <row r="8" spans="1:8" ht="30" x14ac:dyDescent="0.3">
      <c r="A8" s="44" t="s">
        <v>476</v>
      </c>
      <c r="B8" s="40" t="s">
        <v>475</v>
      </c>
      <c r="C8" s="40" t="s">
        <v>474</v>
      </c>
      <c r="D8" s="43">
        <v>0.92</v>
      </c>
      <c r="E8" s="42">
        <v>13930</v>
      </c>
      <c r="F8" s="41">
        <v>1765</v>
      </c>
      <c r="G8" s="40" t="s">
        <v>473</v>
      </c>
      <c r="H8" s="39" t="s">
        <v>451</v>
      </c>
    </row>
    <row r="9" spans="1:8" x14ac:dyDescent="0.3">
      <c r="A9" s="44" t="s">
        <v>472</v>
      </c>
      <c r="B9" s="45">
        <v>87.8</v>
      </c>
      <c r="C9" s="40" t="s">
        <v>471</v>
      </c>
      <c r="D9" s="43">
        <v>0.95</v>
      </c>
      <c r="E9" s="42">
        <v>14385</v>
      </c>
      <c r="F9" s="41">
        <v>1295</v>
      </c>
      <c r="G9" s="40" t="s">
        <v>470</v>
      </c>
      <c r="H9" s="39" t="s">
        <v>453</v>
      </c>
    </row>
    <row r="10" spans="1:8" ht="30" x14ac:dyDescent="0.3">
      <c r="A10" s="44" t="s">
        <v>469</v>
      </c>
      <c r="B10" s="40" t="s">
        <v>468</v>
      </c>
      <c r="C10" s="45">
        <v>7.1</v>
      </c>
      <c r="D10" s="43">
        <v>0.95</v>
      </c>
      <c r="E10" s="42">
        <v>14385</v>
      </c>
      <c r="F10" s="41">
        <v>1009</v>
      </c>
      <c r="G10" s="40" t="s">
        <v>467</v>
      </c>
      <c r="H10" s="39" t="s">
        <v>453</v>
      </c>
    </row>
    <row r="11" spans="1:8" ht="75" x14ac:dyDescent="0.3">
      <c r="A11" s="44" t="s">
        <v>466</v>
      </c>
      <c r="B11" s="40" t="s">
        <v>465</v>
      </c>
      <c r="C11" s="40" t="s">
        <v>464</v>
      </c>
      <c r="D11" s="43">
        <v>0.95</v>
      </c>
      <c r="E11" s="42">
        <v>14385</v>
      </c>
      <c r="F11" s="41">
        <v>2085</v>
      </c>
      <c r="G11" s="40" t="s">
        <v>463</v>
      </c>
      <c r="H11" s="39" t="s">
        <v>453</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
  <sheetViews>
    <sheetView workbookViewId="0"/>
  </sheetViews>
  <sheetFormatPr defaultRowHeight="15" x14ac:dyDescent="0.3"/>
  <cols>
    <col min="1" max="16384" width="9.140625" style="25"/>
  </cols>
  <sheetData>
    <row r="3" spans="1:1" x14ac:dyDescent="0.3">
      <c r="A3" s="25" t="s">
        <v>488</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
  <sheetViews>
    <sheetView workbookViewId="0"/>
  </sheetViews>
  <sheetFormatPr defaultRowHeight="15" x14ac:dyDescent="0.3"/>
  <cols>
    <col min="1" max="16384" width="9.140625" style="25"/>
  </cols>
  <sheetData>
    <row r="2" spans="1:1" x14ac:dyDescent="0.3">
      <c r="A2" s="25" t="s">
        <v>489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Page</vt:lpstr>
      <vt:lpstr>Read Me</vt:lpstr>
      <vt:lpstr>Descriptive Stats PP1</vt:lpstr>
      <vt:lpstr>BART and RP Determination Costs</vt:lpstr>
      <vt:lpstr>CEPCI Index</vt:lpstr>
      <vt:lpstr>TN-Alcoa 2007 BART</vt:lpstr>
      <vt:lpstr>TN-Eastman 2007 BART</vt:lpstr>
      <vt:lpstr>TN-TVA Cumberland 2007 BART</vt:lpstr>
      <vt:lpstr>TN-DuPont 2007 BART</vt:lpstr>
      <vt:lpstr>Sheet1</vt:lpstr>
    </vt:vector>
  </TitlesOfParts>
  <Company>ADEQ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Tricia Treece</dc:creator>
  <cp:lastModifiedBy>Boylan, James</cp:lastModifiedBy>
  <dcterms:created xsi:type="dcterms:W3CDTF">2020-08-04T19:08:22Z</dcterms:created>
  <dcterms:modified xsi:type="dcterms:W3CDTF">2022-08-07T02:00:38Z</dcterms:modified>
</cp:coreProperties>
</file>